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57"/>
  </bookViews>
  <sheets>
    <sheet name="NL1" sheetId="1" r:id="rId1"/>
    <sheet name="NL2" sheetId="7" r:id="rId2"/>
    <sheet name="NL3" sheetId="8" r:id="rId3"/>
    <sheet name="NL4" sheetId="9" r:id="rId4"/>
    <sheet name="NL5" sheetId="10" r:id="rId5"/>
    <sheet name="NL6" sheetId="11" r:id="rId6"/>
    <sheet name="NL7" sheetId="12" r:id="rId7"/>
    <sheet name="NL10" sheetId="13" r:id="rId8"/>
    <sheet name="NL12" sheetId="14" r:id="rId9"/>
    <sheet name="NL13" sheetId="15" r:id="rId10"/>
    <sheet name="NL14" sheetId="16" r:id="rId11"/>
    <sheet name="NL15" sheetId="17" r:id="rId12"/>
    <sheet name="NL17" sheetId="18" r:id="rId13"/>
    <sheet name="NL23" sheetId="2" r:id="rId14"/>
    <sheet name="NL25" sheetId="3" r:id="rId15"/>
    <sheet name="NL30" sheetId="4" r:id="rId16"/>
    <sheet name="NL33" sheetId="5" r:id="rId17"/>
    <sheet name="NL40" sheetId="6" r:id="rId18"/>
  </sheets>
  <calcPr calcId="152511"/>
</workbook>
</file>

<file path=xl/calcChain.xml><?xml version="1.0" encoding="utf-8"?>
<calcChain xmlns="http://schemas.openxmlformats.org/spreadsheetml/2006/main">
  <c r="W11" i="16" l="1"/>
  <c r="AB13" i="18"/>
  <c r="H7" i="17"/>
  <c r="AD11" i="11"/>
  <c r="AC16" i="10"/>
  <c r="AC15" i="10"/>
  <c r="AC10" i="10"/>
  <c r="U15" i="2"/>
  <c r="E28" i="14"/>
  <c r="H34" i="14"/>
  <c r="H29" i="14"/>
  <c r="H22" i="14"/>
  <c r="H19" i="14"/>
  <c r="H18" i="14"/>
  <c r="H13" i="14"/>
  <c r="H10" i="14"/>
  <c r="H7" i="14"/>
  <c r="H6" i="14"/>
  <c r="V18" i="14"/>
  <c r="AB19" i="9" l="1"/>
  <c r="AB18" i="9"/>
  <c r="AB17" i="9"/>
  <c r="AB13" i="9"/>
  <c r="AB12" i="9"/>
  <c r="AB11" i="9"/>
  <c r="C5" i="16" l="1"/>
  <c r="P11" i="16"/>
  <c r="P5" i="16"/>
  <c r="X14" i="6" l="1"/>
  <c r="U10" i="6"/>
  <c r="T10" i="6"/>
  <c r="AZ11" i="3"/>
  <c r="AX11" i="3"/>
  <c r="Q14" i="5"/>
  <c r="AD15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D13" i="18"/>
  <c r="AD12" i="18"/>
  <c r="AD11" i="18"/>
  <c r="AD10" i="18"/>
  <c r="AD9" i="18"/>
  <c r="AD8" i="18"/>
  <c r="AD7" i="18"/>
  <c r="AD6" i="18"/>
  <c r="AD5" i="18"/>
  <c r="AD4" i="18"/>
  <c r="AD16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D14" i="17"/>
  <c r="AD13" i="17"/>
  <c r="AD12" i="17"/>
  <c r="AD11" i="17"/>
  <c r="AD10" i="17"/>
  <c r="AD9" i="17"/>
  <c r="AD8" i="17"/>
  <c r="AD7" i="17"/>
  <c r="AD6" i="17"/>
  <c r="AD5" i="17"/>
  <c r="AD4" i="17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E30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E26" i="15"/>
  <c r="AE25" i="15"/>
  <c r="AE24" i="15"/>
  <c r="AE23" i="15"/>
  <c r="AE22" i="15"/>
  <c r="AE21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E17" i="15"/>
  <c r="AE16" i="15"/>
  <c r="AE15" i="15"/>
  <c r="AE14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E12" i="15"/>
  <c r="AE11" i="15"/>
  <c r="AE10" i="15"/>
  <c r="AE9" i="15"/>
  <c r="AE8" i="15"/>
  <c r="AE7" i="15"/>
  <c r="AE6" i="15"/>
  <c r="AE5" i="15"/>
  <c r="AD11" i="13"/>
  <c r="AD10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D8" i="13"/>
  <c r="AD7" i="13"/>
  <c r="AD6" i="13"/>
  <c r="AD5" i="13"/>
  <c r="AD4" i="13"/>
  <c r="AE28" i="15" l="1"/>
  <c r="AD14" i="18"/>
  <c r="AD15" i="17"/>
  <c r="AE19" i="15"/>
  <c r="AE32" i="15"/>
  <c r="AD9" i="13"/>
  <c r="AB23" i="7"/>
  <c r="S23" i="7"/>
  <c r="M22" i="7"/>
  <c r="M24" i="7" s="1"/>
  <c r="M20" i="7"/>
  <c r="M14" i="7"/>
  <c r="M14" i="1"/>
  <c r="M12" i="1"/>
  <c r="M6" i="1"/>
  <c r="K23" i="7"/>
  <c r="H23" i="7"/>
  <c r="B23" i="7"/>
  <c r="P19" i="7"/>
  <c r="R23" i="7"/>
  <c r="W13" i="1"/>
  <c r="W11" i="1"/>
  <c r="W10" i="1"/>
  <c r="W9" i="1"/>
  <c r="W8" i="1"/>
  <c r="W7" i="1"/>
  <c r="W5" i="1"/>
  <c r="W4" i="1"/>
  <c r="U13" i="1"/>
  <c r="U11" i="1"/>
  <c r="U10" i="1"/>
  <c r="U9" i="1"/>
  <c r="U8" i="1"/>
  <c r="U7" i="1"/>
  <c r="U5" i="1"/>
  <c r="U4" i="1"/>
  <c r="S13" i="1"/>
  <c r="S11" i="1"/>
  <c r="S10" i="1"/>
  <c r="S9" i="1"/>
  <c r="S8" i="1"/>
  <c r="S7" i="1"/>
  <c r="S5" i="1"/>
  <c r="S4" i="1"/>
  <c r="R13" i="1"/>
  <c r="R11" i="1"/>
  <c r="R10" i="1"/>
  <c r="R9" i="1"/>
  <c r="R8" i="1"/>
  <c r="R7" i="1"/>
  <c r="R5" i="1"/>
  <c r="R4" i="1"/>
  <c r="N13" i="1" l="1"/>
  <c r="N11" i="1"/>
  <c r="N10" i="1"/>
  <c r="N9" i="1"/>
  <c r="N8" i="1"/>
  <c r="N7" i="1"/>
  <c r="N5" i="1"/>
  <c r="N4" i="1"/>
  <c r="L13" i="1"/>
  <c r="L11" i="1"/>
  <c r="L10" i="1"/>
  <c r="L9" i="1"/>
  <c r="L8" i="1"/>
  <c r="L7" i="1"/>
  <c r="L5" i="1"/>
  <c r="L4" i="1"/>
  <c r="P14" i="6" l="1"/>
  <c r="W15" i="16" l="1"/>
  <c r="AD4" i="16"/>
  <c r="AD5" i="16"/>
  <c r="AD6" i="16"/>
  <c r="AD7" i="16"/>
  <c r="AD8" i="16"/>
  <c r="AD9" i="16"/>
  <c r="AD10" i="16"/>
  <c r="AD12" i="16"/>
  <c r="AD13" i="16"/>
  <c r="AD14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X15" i="16"/>
  <c r="Y15" i="16"/>
  <c r="Z15" i="16"/>
  <c r="AA15" i="16"/>
  <c r="AB15" i="16"/>
  <c r="AC15" i="16"/>
  <c r="AD16" i="16"/>
  <c r="AD17" i="16"/>
  <c r="AD18" i="16"/>
  <c r="B19" i="16"/>
  <c r="C19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V36" i="14"/>
  <c r="S36" i="14"/>
  <c r="V20" i="14"/>
  <c r="S20" i="14"/>
  <c r="R20" i="14"/>
  <c r="G20" i="14" l="1"/>
  <c r="B20" i="14"/>
  <c r="T36" i="14"/>
  <c r="AB20" i="14"/>
  <c r="Y36" i="14"/>
  <c r="T20" i="14"/>
  <c r="M20" i="14"/>
  <c r="Q36" i="14"/>
  <c r="G36" i="14"/>
  <c r="C20" i="14"/>
  <c r="AB36" i="14"/>
  <c r="O20" i="14"/>
  <c r="D20" i="14"/>
  <c r="P20" i="14"/>
  <c r="Z20" i="14"/>
  <c r="Q20" i="14"/>
  <c r="AA20" i="14"/>
  <c r="B36" i="14"/>
  <c r="M36" i="14"/>
  <c r="C36" i="14"/>
  <c r="D36" i="14"/>
  <c r="E36" i="14"/>
  <c r="F36" i="14"/>
  <c r="H36" i="14"/>
  <c r="J36" i="14"/>
  <c r="K36" i="14"/>
  <c r="N36" i="14"/>
  <c r="O36" i="14"/>
  <c r="P36" i="14"/>
  <c r="R36" i="14"/>
  <c r="R37" i="14" s="1"/>
  <c r="U36" i="14"/>
  <c r="W36" i="14"/>
  <c r="Z36" i="14"/>
  <c r="AA36" i="14"/>
  <c r="AC36" i="14"/>
  <c r="AC20" i="14"/>
  <c r="Y20" i="14"/>
  <c r="X20" i="14"/>
  <c r="W20" i="14"/>
  <c r="U20" i="14"/>
  <c r="N20" i="14"/>
  <c r="K20" i="14"/>
  <c r="F20" i="14"/>
  <c r="I36" i="14"/>
  <c r="I20" i="14"/>
  <c r="AD19" i="16"/>
  <c r="AD11" i="16"/>
  <c r="AD15" i="16"/>
  <c r="S37" i="14"/>
  <c r="V37" i="14"/>
  <c r="X36" i="14"/>
  <c r="J20" i="14"/>
  <c r="H20" i="14"/>
  <c r="L20" i="14"/>
  <c r="E20" i="14"/>
  <c r="L36" i="14"/>
  <c r="AA37" i="14" l="1"/>
  <c r="J37" i="14"/>
  <c r="M37" i="14"/>
  <c r="B37" i="14"/>
  <c r="P37" i="14"/>
  <c r="G37" i="14"/>
  <c r="F37" i="14"/>
  <c r="E37" i="14"/>
  <c r="T37" i="14"/>
  <c r="C37" i="14"/>
  <c r="N37" i="14"/>
  <c r="AB37" i="14"/>
  <c r="K37" i="14"/>
  <c r="Y37" i="14"/>
  <c r="Z37" i="14"/>
  <c r="Q37" i="14"/>
  <c r="O37" i="14"/>
  <c r="D37" i="14"/>
  <c r="U37" i="14"/>
  <c r="H37" i="14"/>
  <c r="W37" i="14"/>
  <c r="AC37" i="14"/>
  <c r="X37" i="14"/>
  <c r="L37" i="14"/>
  <c r="I37" i="14"/>
  <c r="K15" i="2" l="1"/>
  <c r="J15" i="2"/>
  <c r="I15" i="2"/>
  <c r="H15" i="2"/>
  <c r="G15" i="2"/>
  <c r="F15" i="2"/>
  <c r="E15" i="2"/>
  <c r="D15" i="2"/>
  <c r="C15" i="2"/>
  <c r="B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T15" i="2"/>
  <c r="S15" i="2"/>
  <c r="R15" i="2"/>
  <c r="Q15" i="2"/>
  <c r="O15" i="2"/>
  <c r="N15" i="2"/>
  <c r="M15" i="2"/>
  <c r="L15" i="2"/>
  <c r="AZ11" i="6" l="1"/>
  <c r="AD23" i="7" l="1"/>
  <c r="AD19" i="7"/>
  <c r="AD18" i="7"/>
  <c r="AD17" i="7"/>
  <c r="AD13" i="7"/>
  <c r="AD12" i="7"/>
  <c r="AD11" i="7"/>
  <c r="AD10" i="7"/>
  <c r="AD9" i="7"/>
  <c r="AD7" i="7"/>
  <c r="AD6" i="7"/>
  <c r="AD5" i="7"/>
  <c r="AC22" i="7"/>
  <c r="AC24" i="7" s="1"/>
  <c r="AB22" i="7"/>
  <c r="AB24" i="7" s="1"/>
  <c r="AA22" i="7"/>
  <c r="AA24" i="7" s="1"/>
  <c r="Z22" i="7"/>
  <c r="Z24" i="7" s="1"/>
  <c r="Y22" i="7"/>
  <c r="Y24" i="7" s="1"/>
  <c r="X22" i="7"/>
  <c r="X24" i="7" s="1"/>
  <c r="W22" i="7"/>
  <c r="W24" i="7" s="1"/>
  <c r="V22" i="7"/>
  <c r="V24" i="7" s="1"/>
  <c r="U22" i="7"/>
  <c r="U24" i="7" s="1"/>
  <c r="T22" i="7"/>
  <c r="T24" i="7" s="1"/>
  <c r="S22" i="7"/>
  <c r="S24" i="7" s="1"/>
  <c r="R22" i="7"/>
  <c r="R24" i="7" s="1"/>
  <c r="P22" i="7"/>
  <c r="P24" i="7" s="1"/>
  <c r="O22" i="7"/>
  <c r="O24" i="7" s="1"/>
  <c r="N22" i="7"/>
  <c r="N24" i="7" s="1"/>
  <c r="L22" i="7"/>
  <c r="L24" i="7" s="1"/>
  <c r="K22" i="7"/>
  <c r="K24" i="7" s="1"/>
  <c r="J22" i="7"/>
  <c r="J24" i="7" s="1"/>
  <c r="I22" i="7"/>
  <c r="I24" i="7" s="1"/>
  <c r="H22" i="7"/>
  <c r="H24" i="7" s="1"/>
  <c r="G22" i="7"/>
  <c r="G24" i="7" s="1"/>
  <c r="F22" i="7"/>
  <c r="F24" i="7" s="1"/>
  <c r="E22" i="7"/>
  <c r="E24" i="7" s="1"/>
  <c r="D22" i="7"/>
  <c r="D24" i="7" s="1"/>
  <c r="C22" i="7"/>
  <c r="C24" i="7" s="1"/>
  <c r="AC20" i="7"/>
  <c r="AB20" i="7"/>
  <c r="AA20" i="7"/>
  <c r="Z20" i="7"/>
  <c r="Y20" i="7"/>
  <c r="X20" i="7"/>
  <c r="W20" i="7"/>
  <c r="V20" i="7"/>
  <c r="U20" i="7"/>
  <c r="T20" i="7"/>
  <c r="S20" i="7"/>
  <c r="R20" i="7"/>
  <c r="P20" i="7"/>
  <c r="O20" i="7"/>
  <c r="N20" i="7"/>
  <c r="L20" i="7"/>
  <c r="K20" i="7"/>
  <c r="J20" i="7"/>
  <c r="I20" i="7"/>
  <c r="H20" i="7"/>
  <c r="G20" i="7"/>
  <c r="F20" i="7"/>
  <c r="E20" i="7"/>
  <c r="D20" i="7"/>
  <c r="C20" i="7"/>
  <c r="AC14" i="7"/>
  <c r="AB14" i="7"/>
  <c r="AA14" i="7"/>
  <c r="Z14" i="7"/>
  <c r="Y14" i="7"/>
  <c r="X14" i="7"/>
  <c r="W14" i="7"/>
  <c r="V14" i="7"/>
  <c r="U14" i="7"/>
  <c r="T14" i="7"/>
  <c r="S14" i="7"/>
  <c r="R14" i="7"/>
  <c r="P14" i="7"/>
  <c r="O14" i="7"/>
  <c r="N14" i="7"/>
  <c r="L14" i="7"/>
  <c r="K14" i="7"/>
  <c r="J14" i="7"/>
  <c r="I14" i="7"/>
  <c r="H14" i="7"/>
  <c r="G14" i="7"/>
  <c r="F14" i="7"/>
  <c r="E14" i="7"/>
  <c r="D14" i="7"/>
  <c r="C14" i="7"/>
  <c r="B22" i="7"/>
  <c r="B24" i="7" s="1"/>
  <c r="B20" i="7"/>
  <c r="B14" i="7"/>
  <c r="AD26" i="8"/>
  <c r="AD25" i="8"/>
  <c r="AD24" i="8"/>
  <c r="AD21" i="8"/>
  <c r="AD20" i="8"/>
  <c r="AD18" i="8"/>
  <c r="AD17" i="8"/>
  <c r="AD16" i="8"/>
  <c r="AD15" i="8"/>
  <c r="AD14" i="8"/>
  <c r="AD13" i="8"/>
  <c r="AD10" i="8"/>
  <c r="AD8" i="8"/>
  <c r="AD7" i="8"/>
  <c r="AD6" i="8"/>
  <c r="AD5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C61" i="9"/>
  <c r="AC60" i="9"/>
  <c r="AC59" i="9"/>
  <c r="AC49" i="9"/>
  <c r="AC48" i="9"/>
  <c r="AC47" i="9"/>
  <c r="AC43" i="9"/>
  <c r="AC42" i="9"/>
  <c r="AC41" i="9"/>
  <c r="AC37" i="9"/>
  <c r="AC36" i="9"/>
  <c r="AC35" i="9"/>
  <c r="AC31" i="9"/>
  <c r="AC30" i="9"/>
  <c r="AC29" i="9"/>
  <c r="AC25" i="9"/>
  <c r="AC24" i="9"/>
  <c r="AC23" i="9"/>
  <c r="AC19" i="9"/>
  <c r="AC18" i="9"/>
  <c r="AC17" i="9"/>
  <c r="AC13" i="9"/>
  <c r="AC12" i="9"/>
  <c r="AC11" i="9"/>
  <c r="AC7" i="9"/>
  <c r="AC6" i="9"/>
  <c r="AC5" i="9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D51" i="10"/>
  <c r="AD50" i="10"/>
  <c r="AD41" i="10"/>
  <c r="AD40" i="10"/>
  <c r="AD36" i="10"/>
  <c r="AD35" i="10"/>
  <c r="AD31" i="10"/>
  <c r="AD30" i="10"/>
  <c r="AD26" i="10"/>
  <c r="AD25" i="10"/>
  <c r="AD21" i="10"/>
  <c r="AD20" i="10"/>
  <c r="AD16" i="10"/>
  <c r="AD15" i="10"/>
  <c r="AD11" i="10"/>
  <c r="AD10" i="10"/>
  <c r="AD6" i="10"/>
  <c r="AD5" i="10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E51" i="11"/>
  <c r="AE50" i="11"/>
  <c r="AE41" i="11"/>
  <c r="AE40" i="11"/>
  <c r="AE36" i="11"/>
  <c r="AE35" i="11"/>
  <c r="AE31" i="11"/>
  <c r="AE30" i="11"/>
  <c r="AE26" i="11"/>
  <c r="AE25" i="11"/>
  <c r="AE21" i="11"/>
  <c r="AE20" i="11"/>
  <c r="AE16" i="11"/>
  <c r="AE15" i="11"/>
  <c r="AE11" i="11"/>
  <c r="AE10" i="11"/>
  <c r="AE6" i="11"/>
  <c r="AE5" i="11"/>
  <c r="AD17" i="12"/>
  <c r="AD16" i="12"/>
  <c r="AD15" i="12"/>
  <c r="AD13" i="12"/>
  <c r="AD12" i="12"/>
  <c r="AD11" i="12"/>
  <c r="AD10" i="12"/>
  <c r="AD9" i="12"/>
  <c r="AD8" i="12"/>
  <c r="AD7" i="12"/>
  <c r="AD6" i="12"/>
  <c r="AD5" i="12"/>
  <c r="AD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CF14" i="3"/>
  <c r="CC14" i="3"/>
  <c r="BZ14" i="3"/>
  <c r="BW14" i="3"/>
  <c r="BT14" i="3"/>
  <c r="BQ14" i="3"/>
  <c r="BN14" i="3"/>
  <c r="BK14" i="3"/>
  <c r="BH14" i="3"/>
  <c r="BE14" i="3"/>
  <c r="BB14" i="3"/>
  <c r="AY14" i="3"/>
  <c r="AV14" i="3"/>
  <c r="AS14" i="3"/>
  <c r="AP14" i="3"/>
  <c r="AM14" i="3"/>
  <c r="AJ14" i="3"/>
  <c r="AG14" i="3"/>
  <c r="AD14" i="3"/>
  <c r="AA14" i="3"/>
  <c r="X14" i="3"/>
  <c r="U14" i="3"/>
  <c r="R14" i="3"/>
  <c r="O14" i="3"/>
  <c r="L14" i="3"/>
  <c r="I14" i="3"/>
  <c r="F14" i="3"/>
  <c r="C14" i="3"/>
  <c r="CF13" i="3"/>
  <c r="CC13" i="3"/>
  <c r="BZ13" i="3"/>
  <c r="BW13" i="3"/>
  <c r="BT13" i="3"/>
  <c r="BQ13" i="3"/>
  <c r="BN13" i="3"/>
  <c r="BK13" i="3"/>
  <c r="BH13" i="3"/>
  <c r="BE13" i="3"/>
  <c r="BB13" i="3"/>
  <c r="AY13" i="3"/>
  <c r="AV13" i="3"/>
  <c r="AS13" i="3"/>
  <c r="AP13" i="3"/>
  <c r="AM13" i="3"/>
  <c r="AJ13" i="3"/>
  <c r="AG13" i="3"/>
  <c r="AD13" i="3"/>
  <c r="AA13" i="3"/>
  <c r="X13" i="3"/>
  <c r="U13" i="3"/>
  <c r="R13" i="3"/>
  <c r="O13" i="3"/>
  <c r="L13" i="3"/>
  <c r="I13" i="3"/>
  <c r="F13" i="3"/>
  <c r="C13" i="3"/>
  <c r="CF12" i="3"/>
  <c r="CC12" i="3"/>
  <c r="BZ12" i="3"/>
  <c r="BW12" i="3"/>
  <c r="BT12" i="3"/>
  <c r="BQ12" i="3"/>
  <c r="BN12" i="3"/>
  <c r="BK12" i="3"/>
  <c r="BH12" i="3"/>
  <c r="BE12" i="3"/>
  <c r="BB12" i="3"/>
  <c r="AY12" i="3"/>
  <c r="AV12" i="3"/>
  <c r="AS12" i="3"/>
  <c r="AP12" i="3"/>
  <c r="AM12" i="3"/>
  <c r="AJ12" i="3"/>
  <c r="AG12" i="3"/>
  <c r="AD12" i="3"/>
  <c r="AA12" i="3"/>
  <c r="X12" i="3"/>
  <c r="U12" i="3"/>
  <c r="R12" i="3"/>
  <c r="O12" i="3"/>
  <c r="L12" i="3"/>
  <c r="I12" i="3"/>
  <c r="F12" i="3"/>
  <c r="C12" i="3"/>
  <c r="CF11" i="3"/>
  <c r="CC11" i="3"/>
  <c r="BZ11" i="3"/>
  <c r="BW11" i="3"/>
  <c r="BT11" i="3"/>
  <c r="BQ11" i="3"/>
  <c r="BN11" i="3"/>
  <c r="BK11" i="3"/>
  <c r="BH11" i="3"/>
  <c r="BE11" i="3"/>
  <c r="BB11" i="3"/>
  <c r="AY11" i="3"/>
  <c r="AV11" i="3"/>
  <c r="AS11" i="3"/>
  <c r="AP11" i="3"/>
  <c r="AM11" i="3"/>
  <c r="AJ11" i="3"/>
  <c r="AG11" i="3"/>
  <c r="AD11" i="3"/>
  <c r="AA11" i="3"/>
  <c r="X11" i="3"/>
  <c r="U11" i="3"/>
  <c r="R11" i="3"/>
  <c r="O11" i="3"/>
  <c r="L11" i="3"/>
  <c r="I11" i="3"/>
  <c r="F11" i="3"/>
  <c r="C11" i="3"/>
  <c r="CF10" i="3"/>
  <c r="CC10" i="3"/>
  <c r="BZ10" i="3"/>
  <c r="BW10" i="3"/>
  <c r="BT10" i="3"/>
  <c r="BQ10" i="3"/>
  <c r="BN10" i="3"/>
  <c r="BK10" i="3"/>
  <c r="BH10" i="3"/>
  <c r="BE10" i="3"/>
  <c r="BB10" i="3"/>
  <c r="AY10" i="3"/>
  <c r="AV10" i="3"/>
  <c r="AS10" i="3"/>
  <c r="AP10" i="3"/>
  <c r="AM10" i="3"/>
  <c r="AJ10" i="3"/>
  <c r="AG10" i="3"/>
  <c r="AD10" i="3"/>
  <c r="AA10" i="3"/>
  <c r="X10" i="3"/>
  <c r="U10" i="3"/>
  <c r="R10" i="3"/>
  <c r="O10" i="3"/>
  <c r="L10" i="3"/>
  <c r="I10" i="3"/>
  <c r="F10" i="3"/>
  <c r="C10" i="3"/>
  <c r="CF9" i="3"/>
  <c r="CC9" i="3"/>
  <c r="BZ9" i="3"/>
  <c r="BW9" i="3"/>
  <c r="BT9" i="3"/>
  <c r="BQ9" i="3"/>
  <c r="BN9" i="3"/>
  <c r="BK9" i="3"/>
  <c r="BH9" i="3"/>
  <c r="BE9" i="3"/>
  <c r="BB9" i="3"/>
  <c r="AY9" i="3"/>
  <c r="AV9" i="3"/>
  <c r="AS9" i="3"/>
  <c r="AP9" i="3"/>
  <c r="AM9" i="3"/>
  <c r="AJ9" i="3"/>
  <c r="AG9" i="3"/>
  <c r="AD9" i="3"/>
  <c r="AA9" i="3"/>
  <c r="X9" i="3"/>
  <c r="U9" i="3"/>
  <c r="R9" i="3"/>
  <c r="O9" i="3"/>
  <c r="L9" i="3"/>
  <c r="I9" i="3"/>
  <c r="F9" i="3"/>
  <c r="C9" i="3"/>
  <c r="CF8" i="3"/>
  <c r="CC8" i="3"/>
  <c r="BZ8" i="3"/>
  <c r="BW8" i="3"/>
  <c r="BT8" i="3"/>
  <c r="BQ8" i="3"/>
  <c r="BN8" i="3"/>
  <c r="BK8" i="3"/>
  <c r="BH8" i="3"/>
  <c r="BE8" i="3"/>
  <c r="BB8" i="3"/>
  <c r="AY8" i="3"/>
  <c r="AV8" i="3"/>
  <c r="AS8" i="3"/>
  <c r="AP8" i="3"/>
  <c r="AM8" i="3"/>
  <c r="AJ8" i="3"/>
  <c r="AG8" i="3"/>
  <c r="AD8" i="3"/>
  <c r="AA8" i="3"/>
  <c r="X8" i="3"/>
  <c r="U8" i="3"/>
  <c r="R8" i="3"/>
  <c r="O8" i="3"/>
  <c r="L8" i="3"/>
  <c r="I8" i="3"/>
  <c r="F8" i="3"/>
  <c r="C8" i="3"/>
  <c r="CF7" i="3"/>
  <c r="CC7" i="3"/>
  <c r="BZ7" i="3"/>
  <c r="BW7" i="3"/>
  <c r="BT7" i="3"/>
  <c r="BQ7" i="3"/>
  <c r="BN7" i="3"/>
  <c r="BK7" i="3"/>
  <c r="BH7" i="3"/>
  <c r="BE7" i="3"/>
  <c r="BB7" i="3"/>
  <c r="AY7" i="3"/>
  <c r="AV7" i="3"/>
  <c r="AS7" i="3"/>
  <c r="AP7" i="3"/>
  <c r="AM7" i="3"/>
  <c r="AJ7" i="3"/>
  <c r="AG7" i="3"/>
  <c r="AD7" i="3"/>
  <c r="AA7" i="3"/>
  <c r="X7" i="3"/>
  <c r="U7" i="3"/>
  <c r="R7" i="3"/>
  <c r="O7" i="3"/>
  <c r="L7" i="3"/>
  <c r="I7" i="3"/>
  <c r="F7" i="3"/>
  <c r="C7" i="3"/>
  <c r="CF6" i="3"/>
  <c r="CC6" i="3"/>
  <c r="BZ6" i="3"/>
  <c r="BW6" i="3"/>
  <c r="BT6" i="3"/>
  <c r="BQ6" i="3"/>
  <c r="BN6" i="3"/>
  <c r="BK6" i="3"/>
  <c r="BH6" i="3"/>
  <c r="BE6" i="3"/>
  <c r="BB6" i="3"/>
  <c r="AY6" i="3"/>
  <c r="AV6" i="3"/>
  <c r="AS6" i="3"/>
  <c r="AP6" i="3"/>
  <c r="AM6" i="3"/>
  <c r="AJ6" i="3"/>
  <c r="AG6" i="3"/>
  <c r="AD6" i="3"/>
  <c r="AA6" i="3"/>
  <c r="X6" i="3"/>
  <c r="U6" i="3"/>
  <c r="R6" i="3"/>
  <c r="O6" i="3"/>
  <c r="L6" i="3"/>
  <c r="I6" i="3"/>
  <c r="F6" i="3"/>
  <c r="C6" i="3"/>
  <c r="CF5" i="3"/>
  <c r="CC5" i="3"/>
  <c r="BZ5" i="3"/>
  <c r="BW5" i="3"/>
  <c r="BT5" i="3"/>
  <c r="BQ5" i="3"/>
  <c r="BN5" i="3"/>
  <c r="BK5" i="3"/>
  <c r="BH5" i="3"/>
  <c r="BE5" i="3"/>
  <c r="BB5" i="3"/>
  <c r="AY5" i="3"/>
  <c r="AS5" i="3"/>
  <c r="AP5" i="3"/>
  <c r="AM5" i="3"/>
  <c r="AJ5" i="3"/>
  <c r="AG5" i="3"/>
  <c r="AD5" i="3"/>
  <c r="AA5" i="3"/>
  <c r="X5" i="3"/>
  <c r="U5" i="3"/>
  <c r="R5" i="3"/>
  <c r="O5" i="3"/>
  <c r="L5" i="3"/>
  <c r="I5" i="3"/>
  <c r="F5" i="3"/>
  <c r="C5" i="3"/>
  <c r="O23" i="8" l="1"/>
  <c r="B23" i="8"/>
  <c r="Q23" i="8"/>
  <c r="AB23" i="8"/>
  <c r="J23" i="8"/>
  <c r="G23" i="8"/>
  <c r="L23" i="8"/>
  <c r="AA23" i="8"/>
  <c r="N23" i="8"/>
  <c r="E23" i="8"/>
  <c r="S23" i="8"/>
  <c r="I23" i="8"/>
  <c r="AC53" i="9"/>
  <c r="AC54" i="9"/>
  <c r="AD14" i="12"/>
  <c r="Y23" i="8"/>
  <c r="U23" i="8"/>
  <c r="R23" i="8"/>
  <c r="P23" i="8"/>
  <c r="F23" i="8"/>
  <c r="C23" i="8"/>
  <c r="AC23" i="8"/>
  <c r="Z23" i="8"/>
  <c r="X23" i="8"/>
  <c r="W23" i="8"/>
  <c r="V23" i="8"/>
  <c r="T23" i="8"/>
  <c r="M23" i="8"/>
  <c r="K23" i="8"/>
  <c r="H23" i="8"/>
  <c r="AD12" i="8"/>
  <c r="AD22" i="8"/>
  <c r="AD9" i="8"/>
  <c r="D23" i="8"/>
  <c r="AD19" i="8"/>
  <c r="AC55" i="9"/>
  <c r="AD45" i="10"/>
  <c r="AD46" i="10"/>
  <c r="AE45" i="11"/>
  <c r="AE46" i="11"/>
  <c r="AD23" i="8" l="1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W14" i="6"/>
  <c r="V14" i="6"/>
  <c r="U14" i="6"/>
  <c r="T14" i="6"/>
  <c r="S14" i="6"/>
  <c r="R14" i="6"/>
  <c r="Q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BE11" i="6"/>
  <c r="BD11" i="6"/>
  <c r="BC11" i="6"/>
  <c r="BB11" i="6"/>
  <c r="BA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C6" i="1" l="1"/>
  <c r="AB6" i="1"/>
  <c r="AA6" i="1"/>
  <c r="Z6" i="1"/>
  <c r="Y6" i="1"/>
  <c r="X6" i="1"/>
  <c r="W6" i="1"/>
  <c r="V6" i="1"/>
  <c r="U6" i="1"/>
  <c r="T6" i="1"/>
  <c r="S6" i="1"/>
  <c r="R6" i="1"/>
  <c r="P6" i="1"/>
  <c r="O6" i="1"/>
  <c r="N6" i="1"/>
  <c r="L6" i="1"/>
  <c r="K6" i="1"/>
  <c r="J6" i="1"/>
  <c r="I6" i="1"/>
  <c r="H6" i="1"/>
  <c r="G6" i="1"/>
  <c r="F6" i="1"/>
  <c r="E6" i="1"/>
  <c r="C6" i="1"/>
  <c r="B6" i="1"/>
  <c r="D6" i="1"/>
  <c r="AD11" i="1" l="1"/>
  <c r="AD10" i="1"/>
  <c r="AD9" i="1"/>
  <c r="AD7" i="1"/>
  <c r="AD5" i="1"/>
  <c r="AD4" i="1"/>
  <c r="AC14" i="1"/>
  <c r="AB14" i="1"/>
  <c r="AA14" i="1"/>
  <c r="Z14" i="1"/>
  <c r="Y14" i="1"/>
  <c r="X14" i="1"/>
  <c r="W14" i="1"/>
  <c r="V14" i="1"/>
  <c r="U14" i="1"/>
  <c r="T14" i="1"/>
  <c r="S14" i="1"/>
  <c r="R14" i="1"/>
  <c r="P14" i="1"/>
  <c r="O14" i="1"/>
  <c r="N14" i="1"/>
  <c r="L14" i="1"/>
  <c r="K14" i="1"/>
  <c r="J14" i="1"/>
  <c r="I14" i="1"/>
  <c r="H14" i="1"/>
  <c r="G14" i="1"/>
  <c r="F14" i="1"/>
  <c r="E14" i="1"/>
  <c r="C14" i="1"/>
  <c r="B14" i="1"/>
  <c r="AC12" i="1"/>
  <c r="AB12" i="1"/>
  <c r="AA12" i="1"/>
  <c r="Z12" i="1"/>
  <c r="Y12" i="1"/>
  <c r="X12" i="1"/>
  <c r="W12" i="1"/>
  <c r="V12" i="1"/>
  <c r="U12" i="1"/>
  <c r="T12" i="1"/>
  <c r="S12" i="1"/>
  <c r="R12" i="1"/>
  <c r="P12" i="1"/>
  <c r="O12" i="1"/>
  <c r="N12" i="1"/>
  <c r="L12" i="1"/>
  <c r="K12" i="1"/>
  <c r="J12" i="1"/>
  <c r="I12" i="1"/>
  <c r="H12" i="1"/>
  <c r="G12" i="1"/>
  <c r="F12" i="1"/>
  <c r="E12" i="1"/>
  <c r="D12" i="1"/>
  <c r="C12" i="1"/>
  <c r="B12" i="1"/>
  <c r="AD6" i="1" l="1"/>
  <c r="D14" i="1" l="1"/>
  <c r="Q6" i="1"/>
  <c r="Q14" i="1"/>
  <c r="AD13" i="1"/>
  <c r="AD12" i="1" s="1"/>
  <c r="Q12" i="1"/>
  <c r="AD14" i="1" l="1"/>
  <c r="AD15" i="7"/>
  <c r="Q14" i="7"/>
  <c r="AD14" i="7" s="1"/>
  <c r="Q22" i="7"/>
  <c r="Q24" i="7" s="1"/>
  <c r="AD24" i="7" s="1"/>
  <c r="Q20" i="7"/>
  <c r="AD20" i="7" s="1"/>
  <c r="AD21" i="7"/>
  <c r="AD22" i="7" l="1"/>
  <c r="AV5" i="3"/>
</calcChain>
</file>

<file path=xl/sharedStrings.xml><?xml version="1.0" encoding="utf-8"?>
<sst xmlns="http://schemas.openxmlformats.org/spreadsheetml/2006/main" count="2046" uniqueCount="291">
  <si>
    <t>Particulars</t>
  </si>
  <si>
    <t>AICL</t>
  </si>
  <si>
    <t>Apollo Munich</t>
  </si>
  <si>
    <t>Bajaj Allianz</t>
  </si>
  <si>
    <t>Bharti Axa</t>
  </si>
  <si>
    <t>Cholamandalam</t>
  </si>
  <si>
    <t>Cigna TTK</t>
  </si>
  <si>
    <t>ECGC</t>
  </si>
  <si>
    <t>Future Generali</t>
  </si>
  <si>
    <t>Go Digit</t>
  </si>
  <si>
    <t>HDFC Ergo</t>
  </si>
  <si>
    <t>ICICI Lombard</t>
  </si>
  <si>
    <t>Iffco Tokio</t>
  </si>
  <si>
    <t>Kotak</t>
  </si>
  <si>
    <t>Liberty</t>
  </si>
  <si>
    <t>Magma HDI</t>
  </si>
  <si>
    <t>Max Bupa</t>
  </si>
  <si>
    <t>National</t>
  </si>
  <si>
    <t>New India</t>
  </si>
  <si>
    <t>Oriental</t>
  </si>
  <si>
    <t>Raheja</t>
  </si>
  <si>
    <t>Reliance General</t>
  </si>
  <si>
    <t>Religare</t>
  </si>
  <si>
    <t>Royal Sundaram</t>
  </si>
  <si>
    <t>SBI</t>
  </si>
  <si>
    <t>Shriram</t>
  </si>
  <si>
    <t>Star Health</t>
  </si>
  <si>
    <t>Tata AIG</t>
  </si>
  <si>
    <t>United India</t>
  </si>
  <si>
    <t>Universal Sompo</t>
  </si>
  <si>
    <t>Industry Total</t>
  </si>
  <si>
    <t>Premiums earned (Net)</t>
  </si>
  <si>
    <t>Profit/ Loss on sale/redemption of Investments</t>
  </si>
  <si>
    <t>Other Income</t>
  </si>
  <si>
    <t>Interest, Dividend &amp; Rent – Gross</t>
  </si>
  <si>
    <t>TOTAL (A)</t>
  </si>
  <si>
    <t>Claims Incurred (Net)</t>
  </si>
  <si>
    <t>Commission</t>
  </si>
  <si>
    <t>Operating Expenses related to Insurance Business</t>
  </si>
  <si>
    <t>TOTAL (B)</t>
  </si>
  <si>
    <t>Operating profit / (loss) (A-B)</t>
  </si>
  <si>
    <t>Others</t>
  </si>
  <si>
    <t>NL-1 Revenue Account</t>
  </si>
  <si>
    <t>in Rs. '000</t>
  </si>
  <si>
    <t>Capital Reserve</t>
  </si>
  <si>
    <t>Capital Redemption Reserve</t>
  </si>
  <si>
    <t>Share/Security Premium</t>
  </si>
  <si>
    <t>General Reserves</t>
  </si>
  <si>
    <t>Catastrophe Reserve</t>
  </si>
  <si>
    <t>Other Reserves</t>
  </si>
  <si>
    <t>Balance of Profit in Profit &amp; Loss Account</t>
  </si>
  <si>
    <t>TOTAL</t>
  </si>
  <si>
    <t>SECURITY-WISE CLASSIFICATION</t>
  </si>
  <si>
    <t>Secured</t>
  </si>
  <si>
    <t>(a) On mortgage of property</t>
  </si>
  <si>
    <t>(aa)  In India</t>
  </si>
  <si>
    <t>(bb) Outside India</t>
  </si>
  <si>
    <t>(b) On Shares, Bonds, Govt. Securities</t>
  </si>
  <si>
    <t>(c) Others</t>
  </si>
  <si>
    <t>Unsecured</t>
  </si>
  <si>
    <t>BORROWER-WISE CLASSIFICATION</t>
  </si>
  <si>
    <t>(a) Central and State Governments</t>
  </si>
  <si>
    <t>(b) Banks and Financial Institutions</t>
  </si>
  <si>
    <t>(c) Subsidiaries</t>
  </si>
  <si>
    <t>(d) Industrial Undertakings</t>
  </si>
  <si>
    <t xml:space="preserve">(e)  Others </t>
  </si>
  <si>
    <t>PERFORMANCE-WISE CLASSIFICATION</t>
  </si>
  <si>
    <t>(a) Loans classified as standard</t>
  </si>
  <si>
    <t>(b) Non-performing loans less provisions</t>
  </si>
  <si>
    <t>Provisions</t>
  </si>
  <si>
    <t>MATURITY-WISE CLASSIFICATION</t>
  </si>
  <si>
    <t>(a) Short Term</t>
  </si>
  <si>
    <t>(b) Long Term</t>
  </si>
  <si>
    <t>Goodwill</t>
  </si>
  <si>
    <t>Intangibles (Software)</t>
  </si>
  <si>
    <t>Land-Freehold</t>
  </si>
  <si>
    <t>Land-Leasehold</t>
  </si>
  <si>
    <t>Leasehold</t>
  </si>
  <si>
    <t xml:space="preserve">Buildings </t>
  </si>
  <si>
    <t>Furniture &amp; Fittings</t>
  </si>
  <si>
    <t>IT Equipments</t>
  </si>
  <si>
    <t>Motor Cars/Vehicles</t>
  </si>
  <si>
    <t>Office Equipments</t>
  </si>
  <si>
    <t>Electrical Equipments</t>
  </si>
  <si>
    <t>Other Assets</t>
  </si>
  <si>
    <t>Capital Work in progress</t>
  </si>
  <si>
    <t>Instangible Assets under development</t>
  </si>
  <si>
    <t>Grand Total</t>
  </si>
  <si>
    <t>Cash (including cheques, drafts and stamps)</t>
  </si>
  <si>
    <t>Bank Balances</t>
  </si>
  <si>
    <t>(a) Deposit Accounts</t>
  </si>
  <si>
    <t>           (aa) Short-term (due within 12 months)</t>
  </si>
  <si>
    <t>           (bb) Others</t>
  </si>
  <si>
    <t>(b) Current Accounts</t>
  </si>
  <si>
    <t>(c) Cheque in Hand</t>
  </si>
  <si>
    <t>(d) Others</t>
  </si>
  <si>
    <t>Money at Call and Short Notice</t>
  </si>
  <si>
    <t>(a) With Banks</t>
  </si>
  <si>
    <t>(b) With other Institutions</t>
  </si>
  <si>
    <t>Agents’ Balances</t>
  </si>
  <si>
    <t>Balances due to other insurance companies</t>
  </si>
  <si>
    <t>Deposits held on re-insurance ceded</t>
  </si>
  <si>
    <t>Premiums received in advance</t>
  </si>
  <si>
    <t>Unallocated Premium</t>
  </si>
  <si>
    <t>Sundry creditors</t>
  </si>
  <si>
    <t>Due to subsidiaries/ holding company</t>
  </si>
  <si>
    <t xml:space="preserve">Claims Outstanding </t>
  </si>
  <si>
    <t>Due to Directors/Officers</t>
  </si>
  <si>
    <t>Unclaimed amount of Policyholders</t>
  </si>
  <si>
    <t>in Rs. Lakhs</t>
  </si>
  <si>
    <t>Available Assets in Policyholders’ Funds</t>
  </si>
  <si>
    <t>Deduct:</t>
  </si>
  <si>
    <t>Liabilities (reserves as mentioned in Form HG)</t>
  </si>
  <si>
    <t>Other Liabilities (other liabilities in respect of  Policyholders’ Fund as mentioned in Balance Sheet)</t>
  </si>
  <si>
    <t>Current Liabilities as per Balance Sheet</t>
  </si>
  <si>
    <t>Provisions as per Balance Sheet</t>
  </si>
  <si>
    <t xml:space="preserve">Excess in Policyholders’ Funds </t>
  </si>
  <si>
    <t>Available Assets in Shareholders’ Funds</t>
  </si>
  <si>
    <t>Other Liabilities (other liabilities in respect of Shareholders’ Fund as mentioned in Balance Sheet)</t>
  </si>
  <si>
    <t>Excess in Shareholders’ Funds</t>
  </si>
  <si>
    <t>Total Available Solvency Margin [ASM]</t>
  </si>
  <si>
    <t>Total Required Solvency Margin  [RSM]</t>
  </si>
  <si>
    <t>Solvency Ratio (Total ASM/Total RSM)</t>
  </si>
  <si>
    <t xml:space="preserve">NL-40 Business Acquisition Through Different Channels </t>
  </si>
  <si>
    <t>No. of Policies- in number only, Premium- in Rs. Lakhs</t>
  </si>
  <si>
    <t>Individual Agents</t>
  </si>
  <si>
    <t>Corporate Agents-Banks</t>
  </si>
  <si>
    <t>Corporate Agents -Others</t>
  </si>
  <si>
    <t>Brokers</t>
  </si>
  <si>
    <t>Micro Agents</t>
  </si>
  <si>
    <t>Direct Business</t>
  </si>
  <si>
    <t>Total (A)</t>
  </si>
  <si>
    <t>Referral (B)</t>
  </si>
  <si>
    <t>Grand Total (A+B)</t>
  </si>
  <si>
    <t>No.of Policies</t>
  </si>
  <si>
    <t>Premium</t>
  </si>
  <si>
    <t>NL-30 Analytical Ratios</t>
  </si>
  <si>
    <t>Gross Premium Growth Rate</t>
  </si>
  <si>
    <t>Gross Premium to shareholders' fund ratio</t>
  </si>
  <si>
    <t>Gross Direct Premium to Net Worth Ratio</t>
  </si>
  <si>
    <t>Growth Rate of Net Worth</t>
  </si>
  <si>
    <t>Growth rate of shareholders' fund</t>
  </si>
  <si>
    <t>Net Retention Ratio</t>
  </si>
  <si>
    <t>Net Commission Ratio</t>
  </si>
  <si>
    <t>Expense of Management to Gross Direct Premium Ratio</t>
  </si>
  <si>
    <t>Expense of Management to Net Written Premium Ratio</t>
  </si>
  <si>
    <t>Net Incurred claims to Net Earned Premium</t>
  </si>
  <si>
    <t>Combined Ratio</t>
  </si>
  <si>
    <t>Technical Reserves to net premium ratio</t>
  </si>
  <si>
    <t>Underwriting balance ratio</t>
  </si>
  <si>
    <t>Operating Profit Ratio</t>
  </si>
  <si>
    <t>Liquid Assets to Liabilities ratio</t>
  </si>
  <si>
    <t>Net earning ratio</t>
  </si>
  <si>
    <t>Return on net worth ratio</t>
  </si>
  <si>
    <t>Available Solvency Margin Ratio to Required Solvency Margin Ratio</t>
  </si>
  <si>
    <t>NPA Ratio</t>
  </si>
  <si>
    <t>Gross NPA Ratio</t>
  </si>
  <si>
    <t>Net NPA Ratio</t>
  </si>
  <si>
    <t>Motor TP</t>
  </si>
  <si>
    <t>Non TP</t>
  </si>
  <si>
    <t>Total</t>
  </si>
  <si>
    <t>Claims o/s at the beginning of the period</t>
  </si>
  <si>
    <t>Claims reported during the period</t>
  </si>
  <si>
    <t>Claims settled during the period</t>
  </si>
  <si>
    <t>Claims repudiated during the period</t>
  </si>
  <si>
    <t>Claims closed during the period</t>
  </si>
  <si>
    <t>Claims o/s at end of the period</t>
  </si>
  <si>
    <t>Less than 3 months</t>
  </si>
  <si>
    <t>3 months to 6 months</t>
  </si>
  <si>
    <t>6 months to 1 year</t>
  </si>
  <si>
    <t>1 year and above</t>
  </si>
  <si>
    <t>No. of Claims only</t>
  </si>
  <si>
    <t>No. of Reinsurers</t>
  </si>
  <si>
    <t>Premium ceded to reinsurers</t>
  </si>
  <si>
    <t>Premium ceded to reinsurers/ Total reinsurance premium ceded (%)</t>
  </si>
  <si>
    <t>Proportional</t>
  </si>
  <si>
    <t>Non-Proportional</t>
  </si>
  <si>
    <t>Facultative</t>
  </si>
  <si>
    <t>Reinsurance Placement</t>
  </si>
  <si>
    <t>No. of Reinsurers with rating of AAA and above</t>
  </si>
  <si>
    <t>No. of Reinsurers with rating AA but less than AAA</t>
  </si>
  <si>
    <t>No. of Reinsurers with rating A but less than AA</t>
  </si>
  <si>
    <t xml:space="preserve">No. of Reinsurers with rating BBB but less than A </t>
  </si>
  <si>
    <t>No. of Reinsurers with rating less than BBB</t>
  </si>
  <si>
    <t>No. of Domestic Reinsurance Placed with Indian Insurance Companies</t>
  </si>
  <si>
    <t>Domestic Capacity</t>
  </si>
  <si>
    <t>No. of Indian reinsurer other than GIC</t>
  </si>
  <si>
    <t>Government</t>
  </si>
  <si>
    <t>LONG TERM INVESTMENTS</t>
  </si>
  <si>
    <t>Government securities and Government guaranteed bonds including Treasury Bills</t>
  </si>
  <si>
    <t>Other Approved Securities</t>
  </si>
  <si>
    <t>Other Investments</t>
  </si>
  <si>
    <t>(a) Shares</t>
  </si>
  <si>
    <t xml:space="preserve">      (aa)  Equity</t>
  </si>
  <si>
    <t xml:space="preserve">      (bb) Preference</t>
  </si>
  <si>
    <t>(b) Mutual Funds</t>
  </si>
  <si>
    <t>(c) Debentures/ Bonds</t>
  </si>
  <si>
    <t>(d) Other securities</t>
  </si>
  <si>
    <t>(e) Non convertible debenture/bonds</t>
  </si>
  <si>
    <t>(f) Subsidiaries</t>
  </si>
  <si>
    <t>(g) Investment properties - Real Estate</t>
  </si>
  <si>
    <t>Investments in Infrastructure and Social Sector</t>
  </si>
  <si>
    <t>Other than Approved Investments</t>
  </si>
  <si>
    <t>TOTAL LONG TERM INVESTMENTS</t>
  </si>
  <si>
    <t>SHORT TERM INVESTMENTS</t>
  </si>
  <si>
    <t>TOTAL SHORT TERM INVESTMENTS</t>
  </si>
  <si>
    <t>(d) Non convertible debenture/bonds</t>
  </si>
  <si>
    <t>(e) Other securities</t>
  </si>
  <si>
    <t>(f) Fixed Deposit with Bank</t>
  </si>
  <si>
    <t>(g) Subsidiaries</t>
  </si>
  <si>
    <t>NL-7 Operating Expenses</t>
  </si>
  <si>
    <t>Employees remuneration and welfare benefits</t>
  </si>
  <si>
    <t>Travel conveyance and vehicle running expenses</t>
  </si>
  <si>
    <t>Training expenses</t>
  </si>
  <si>
    <t>Rent, rates and taxes</t>
  </si>
  <si>
    <t>Repairs and maintenance</t>
  </si>
  <si>
    <t>Printing and stationery</t>
  </si>
  <si>
    <t>Communication</t>
  </si>
  <si>
    <t>Legal and Professional Charges</t>
  </si>
  <si>
    <t>Advertisement and publicity</t>
  </si>
  <si>
    <t>Interest and bank charges</t>
  </si>
  <si>
    <t>Depreciation</t>
  </si>
  <si>
    <t>Service Tax Expenses / GST Expenses</t>
  </si>
  <si>
    <t>NL-6 Commission</t>
  </si>
  <si>
    <t>FIRE</t>
  </si>
  <si>
    <t>MARINE</t>
  </si>
  <si>
    <t>MOTOR</t>
  </si>
  <si>
    <t>ENGINEERING</t>
  </si>
  <si>
    <t>HEALTH</t>
  </si>
  <si>
    <t>PERSONAL ACCIDENT</t>
  </si>
  <si>
    <t>LIABILITY</t>
  </si>
  <si>
    <t>AVIATION</t>
  </si>
  <si>
    <t>OTHER MISCELLANEOUS</t>
  </si>
  <si>
    <t>Direct</t>
  </si>
  <si>
    <t>Net Commission</t>
  </si>
  <si>
    <t xml:space="preserve">NL-5 Claims </t>
  </si>
  <si>
    <t>Direct claims</t>
  </si>
  <si>
    <t>Net Premium</t>
  </si>
  <si>
    <t>Net Earned Premium</t>
  </si>
  <si>
    <t xml:space="preserve">NL-4 Premium </t>
  </si>
  <si>
    <t>SOURCES OF FUNDS</t>
  </si>
  <si>
    <t>Share Capital</t>
  </si>
  <si>
    <t>Reserves and Surplus</t>
  </si>
  <si>
    <t>Fair Value Change Account</t>
  </si>
  <si>
    <t>Borrowings</t>
  </si>
  <si>
    <t>APPLICATION OF FUNDS</t>
  </si>
  <si>
    <t>Total Investments</t>
  </si>
  <si>
    <t>Loans</t>
  </si>
  <si>
    <t>Fixed Assets</t>
  </si>
  <si>
    <t>Deferred Tax Assets</t>
  </si>
  <si>
    <t>Current Assets</t>
  </si>
  <si>
    <t>Cash and Bank Balances</t>
  </si>
  <si>
    <t>Advances and Other Assets</t>
  </si>
  <si>
    <t>Sub-Total (A)</t>
  </si>
  <si>
    <t>Current Liabilities</t>
  </si>
  <si>
    <t>Sub-Total (B)</t>
  </si>
  <si>
    <t>NET CURRENT ASSETS (C) = (A - B)</t>
  </si>
  <si>
    <t>Miscellaneous Expenditure (to the extent not written off or adjusted)</t>
  </si>
  <si>
    <t>Debit Balance in Profit and Loss Account</t>
  </si>
  <si>
    <t>OPERATING PROFIT/(LOSS)</t>
  </si>
  <si>
    <t>(a) Fire Insurance</t>
  </si>
  <si>
    <t>(b) Marine Insurance</t>
  </si>
  <si>
    <t>(c) Miscellaneous Insurance</t>
  </si>
  <si>
    <t>INCOME FROM INVESTMENTS</t>
  </si>
  <si>
    <t>(a) Interest, Dividend &amp; Rent – Gross</t>
  </si>
  <si>
    <t>(b) Profit on sale of investments</t>
  </si>
  <si>
    <t>Less: Loss on sale of investments</t>
  </si>
  <si>
    <t>(c) Accretion/(Amortisation) of Debt Securities</t>
  </si>
  <si>
    <t>(d) Amortization of Discount / (Premium)</t>
  </si>
  <si>
    <t>OTHER INCOME</t>
  </si>
  <si>
    <t>PROVISIONS (Other than taxation)</t>
  </si>
  <si>
    <t>(a) For diminution in the value of investments</t>
  </si>
  <si>
    <t>(b) For doubtful debts</t>
  </si>
  <si>
    <t xml:space="preserve">OTHER EXPENSES </t>
  </si>
  <si>
    <t>PROFIT / (LOSS) BEFORE TAX (A-B)</t>
  </si>
  <si>
    <t>PROFIT / (LOSS) AFTER TAX</t>
  </si>
  <si>
    <t>Provision for Taxation</t>
  </si>
  <si>
    <t>Premium from direct business written</t>
  </si>
  <si>
    <r>
      <t xml:space="preserve">NL-23 Reinsurance Risk Concentration
</t>
    </r>
    <r>
      <rPr>
        <b/>
        <sz val="12"/>
        <color theme="4" tint="-0.499984740745262"/>
        <rFont val="Calibri"/>
        <family val="2"/>
        <scheme val="minor"/>
      </rPr>
      <t xml:space="preserve">Rs. In Lakhs </t>
    </r>
  </si>
  <si>
    <t>Total Claims Incurred</t>
  </si>
  <si>
    <t>NL-25 Quarterly Claims Data (Q4)</t>
  </si>
  <si>
    <t>NL-33 Solvency Margin KGII for the period ended 31 March 2016</t>
  </si>
  <si>
    <t>NL-17 Current Liabilities as at 31 March 2016</t>
  </si>
  <si>
    <t>NL-15 Cash and Bank Balance as at 31 March 2016</t>
  </si>
  <si>
    <t>NL-14 Fixed Assets. Net Block as at 31 March 2016</t>
  </si>
  <si>
    <t>NL-13 Loans as at 31 March 2016</t>
  </si>
  <si>
    <t>NL-12 Investments as at 31 March 2016</t>
  </si>
  <si>
    <t>NL-10 Reserves and Surplus as at 31 March 2016</t>
  </si>
  <si>
    <t>NL-3 Balance Sheet as at 31 March 2016</t>
  </si>
  <si>
    <t>NL-2 Profit and Loss Account upto the year ended 31 March 2016</t>
  </si>
  <si>
    <t>United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</si>
</sst>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5" fillId="0" borderId="0" applyFon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23" fillId="0" borderId="0"/>
    <xf numFmtId="0" fontId="24" fillId="0" borderId="0" applyNumberFormat="0" applyFill="0" applyBorder="0" applyAlignment="0" applyProtection="0"/>
  </cellStyleXfs>
  <cellXfs count="126">
    <xf numFmtId="0" fontId="0" fillId="0" borderId="0" xfId="0"/>
    <xf numFmtId="1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0" xfId="0" applyFont="1"/>
    <xf numFmtId="1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" fontId="1" fillId="0" borderId="0" xfId="0" applyNumberFormat="1" applyFont="1"/>
    <xf numFmtId="1" fontId="4" fillId="0" borderId="0" xfId="0" applyNumberFormat="1" applyFont="1"/>
    <xf numFmtId="1" fontId="0" fillId="0" borderId="1" xfId="0" applyNumberFormat="1" applyBorder="1"/>
    <xf numFmtId="1" fontId="1" fillId="0" borderId="1" xfId="0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4" fillId="0" borderId="0" xfId="0" applyNumberFormat="1" applyFont="1" applyAlignment="1"/>
    <xf numFmtId="1" fontId="0" fillId="0" borderId="0" xfId="0" applyNumberFormat="1" applyFont="1" applyAlignment="1">
      <alignment wrapText="1"/>
    </xf>
    <xf numFmtId="1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/>
    <xf numFmtId="1" fontId="0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0" fillId="0" borderId="0" xfId="0" applyNumberFormat="1" applyFont="1"/>
    <xf numFmtId="1" fontId="7" fillId="0" borderId="0" xfId="0" applyNumberFormat="1" applyFont="1"/>
    <xf numFmtId="1" fontId="0" fillId="0" borderId="1" xfId="0" applyNumberFormat="1" applyFont="1" applyBorder="1"/>
    <xf numFmtId="1" fontId="0" fillId="0" borderId="0" xfId="0" applyNumberFormat="1" applyFont="1" applyBorder="1"/>
    <xf numFmtId="1" fontId="7" fillId="0" borderId="0" xfId="0" applyNumberFormat="1" applyFont="1" applyBorder="1"/>
    <xf numFmtId="1" fontId="7" fillId="0" borderId="0" xfId="0" applyNumberFormat="1" applyFont="1" applyAlignment="1">
      <alignment wrapText="1"/>
    </xf>
    <xf numFmtId="1" fontId="0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/>
    <xf numFmtId="1" fontId="2" fillId="0" borderId="1" xfId="0" applyNumberFormat="1" applyFont="1" applyBorder="1"/>
    <xf numFmtId="1" fontId="2" fillId="0" borderId="0" xfId="0" applyNumberFormat="1" applyFon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10" fontId="0" fillId="0" borderId="1" xfId="1" applyNumberFormat="1" applyFont="1" applyBorder="1"/>
    <xf numFmtId="2" fontId="0" fillId="0" borderId="1" xfId="1" applyNumberFormat="1" applyFont="1" applyBorder="1"/>
    <xf numFmtId="10" fontId="2" fillId="0" borderId="1" xfId="1" applyNumberFormat="1" applyFont="1" applyBorder="1"/>
    <xf numFmtId="2" fontId="0" fillId="0" borderId="0" xfId="0" applyNumberFormat="1"/>
    <xf numFmtId="2" fontId="1" fillId="0" borderId="1" xfId="0" applyNumberFormat="1" applyFont="1" applyBorder="1" applyAlignment="1">
      <alignment horizontal="left" wrapText="1"/>
    </xf>
    <xf numFmtId="2" fontId="2" fillId="0" borderId="0" xfId="0" applyNumberFormat="1" applyFont="1"/>
    <xf numFmtId="10" fontId="0" fillId="0" borderId="0" xfId="1" applyNumberFormat="1" applyFon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Alignment="1"/>
    <xf numFmtId="1" fontId="0" fillId="0" borderId="0" xfId="0" applyNumberFormat="1" applyFill="1"/>
    <xf numFmtId="1" fontId="0" fillId="0" borderId="0" xfId="0" applyNumberFormat="1" applyFill="1" applyAlignment="1">
      <alignment wrapText="1"/>
    </xf>
    <xf numFmtId="1" fontId="1" fillId="0" borderId="1" xfId="0" applyNumberFormat="1" applyFont="1" applyFill="1" applyBorder="1" applyAlignment="1">
      <alignment wrapText="1"/>
    </xf>
    <xf numFmtId="1" fontId="0" fillId="0" borderId="1" xfId="0" applyNumberFormat="1" applyFill="1" applyBorder="1"/>
    <xf numFmtId="1" fontId="0" fillId="0" borderId="1" xfId="0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0" xfId="0" applyNumberFormat="1" applyFont="1" applyFill="1"/>
    <xf numFmtId="2" fontId="4" fillId="0" borderId="0" xfId="0" applyNumberFormat="1" applyFont="1" applyAlignment="1">
      <alignment wrapText="1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/>
    <xf numFmtId="1" fontId="1" fillId="0" borderId="0" xfId="0" applyNumberFormat="1" applyFont="1" applyAlignment="1">
      <alignment vertical="center"/>
    </xf>
    <xf numFmtId="1" fontId="0" fillId="0" borderId="0" xfId="0" applyNumberFormat="1" applyFont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0" fillId="0" borderId="0" xfId="0" applyNumberFormat="1" applyFont="1" applyAlignment="1">
      <alignment vertical="center"/>
    </xf>
    <xf numFmtId="1" fontId="0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Border="1" applyAlignment="1"/>
    <xf numFmtId="0" fontId="0" fillId="0" borderId="1" xfId="0" applyFont="1" applyFill="1" applyBorder="1" applyAlignment="1"/>
    <xf numFmtId="1" fontId="1" fillId="0" borderId="1" xfId="0" applyNumberFormat="1" applyFont="1" applyBorder="1" applyAlignment="1"/>
    <xf numFmtId="1" fontId="0" fillId="0" borderId="1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9" fontId="0" fillId="0" borderId="0" xfId="1" applyFont="1"/>
    <xf numFmtId="9" fontId="1" fillId="0" borderId="1" xfId="1" applyFont="1" applyBorder="1" applyAlignment="1">
      <alignment horizontal="center"/>
    </xf>
    <xf numFmtId="9" fontId="0" fillId="0" borderId="1" xfId="1" applyFont="1" applyBorder="1"/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9" fontId="2" fillId="0" borderId="1" xfId="1" applyFont="1" applyBorder="1"/>
    <xf numFmtId="9" fontId="2" fillId="0" borderId="1" xfId="1" applyFont="1" applyBorder="1" applyAlignment="1">
      <alignment horizontal="center" vertical="center" wrapText="1"/>
    </xf>
    <xf numFmtId="1" fontId="0" fillId="0" borderId="0" xfId="0" applyNumberFormat="1" applyFont="1" applyFill="1"/>
    <xf numFmtId="1" fontId="1" fillId="0" borderId="1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1" fontId="0" fillId="0" borderId="0" xfId="0" applyNumberFormat="1" applyFont="1" applyFill="1" applyAlignment="1">
      <alignment vertical="center"/>
    </xf>
    <xf numFmtId="1" fontId="4" fillId="0" borderId="0" xfId="0" applyNumberFormat="1" applyFont="1" applyFill="1"/>
    <xf numFmtId="1" fontId="4" fillId="0" borderId="0" xfId="0" applyNumberFormat="1" applyFont="1" applyFill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/>
    <xf numFmtId="0" fontId="0" fillId="0" borderId="1" xfId="0" applyBorder="1"/>
    <xf numFmtId="0" fontId="0" fillId="0" borderId="1" xfId="0" applyBorder="1"/>
    <xf numFmtId="0" fontId="0" fillId="0" borderId="1" xfId="0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6" xfId="43"/>
    <cellStyle name="Note" xfId="15" builtinId="10" customBuiltin="1"/>
    <cellStyle name="Output" xfId="10" builtinId="21" customBuiltin="1"/>
    <cellStyle name="Percent" xfId="1" builtinId="5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3.140625" style="8" customWidth="1"/>
    <col min="2" max="29" width="16" style="8" customWidth="1"/>
    <col min="30" max="30" width="16" style="9" customWidth="1"/>
    <col min="31" max="16384" width="9.140625" style="8"/>
  </cols>
  <sheetData>
    <row r="1" spans="1:30" ht="18.75" x14ac:dyDescent="0.3">
      <c r="A1" s="6" t="s">
        <v>42</v>
      </c>
    </row>
    <row r="2" spans="1:30" x14ac:dyDescent="0.25">
      <c r="A2" s="7" t="s">
        <v>43</v>
      </c>
    </row>
    <row r="3" spans="1:30" x14ac:dyDescent="0.25">
      <c r="A3" s="1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10</v>
      </c>
      <c r="K3" s="19" t="s">
        <v>11</v>
      </c>
      <c r="L3" s="19" t="s">
        <v>12</v>
      </c>
      <c r="M3" s="6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19" t="s">
        <v>24</v>
      </c>
      <c r="Y3" s="19" t="s">
        <v>25</v>
      </c>
      <c r="Z3" s="19" t="s">
        <v>26</v>
      </c>
      <c r="AA3" s="19" t="s">
        <v>27</v>
      </c>
      <c r="AB3" s="2" t="s">
        <v>28</v>
      </c>
      <c r="AC3" s="19" t="s">
        <v>29</v>
      </c>
      <c r="AD3" s="19" t="s">
        <v>30</v>
      </c>
    </row>
    <row r="4" spans="1:30" x14ac:dyDescent="0.25">
      <c r="A4" s="3" t="s">
        <v>31</v>
      </c>
      <c r="B4" s="11">
        <v>18622304</v>
      </c>
      <c r="C4" s="11">
        <v>7748976</v>
      </c>
      <c r="D4" s="11">
        <v>42236473</v>
      </c>
      <c r="E4" s="11">
        <v>93642</v>
      </c>
      <c r="F4" s="11">
        <v>465884</v>
      </c>
      <c r="G4" s="11">
        <v>709570</v>
      </c>
      <c r="H4" s="11">
        <v>9789381.1400000006</v>
      </c>
      <c r="I4" s="11">
        <v>10814410</v>
      </c>
      <c r="J4" s="11">
        <v>2978331</v>
      </c>
      <c r="K4" s="11">
        <v>48216173</v>
      </c>
      <c r="L4" s="11">
        <f>396139+27204054+449291</f>
        <v>28049484</v>
      </c>
      <c r="M4" s="11">
        <v>605</v>
      </c>
      <c r="N4" s="11">
        <f>33139+45433+2884463</f>
        <v>2963035</v>
      </c>
      <c r="O4" s="11">
        <v>3732245</v>
      </c>
      <c r="P4" s="11">
        <v>3931095</v>
      </c>
      <c r="Q4" s="11">
        <v>107913822.48050617</v>
      </c>
      <c r="R4" s="11">
        <f>4729982+20732570</f>
        <v>25462552</v>
      </c>
      <c r="S4" s="11">
        <f>2901842+5655915+61681264</f>
        <v>70239021</v>
      </c>
      <c r="T4" s="11">
        <v>214906</v>
      </c>
      <c r="U4" s="11">
        <f>268297+560425+19165268</f>
        <v>19993990</v>
      </c>
      <c r="V4" s="11">
        <v>2877272.4</v>
      </c>
      <c r="W4" s="11">
        <f>141193+217378+13541605</f>
        <v>13900176</v>
      </c>
      <c r="X4" s="11">
        <v>12068912</v>
      </c>
      <c r="Y4" s="11">
        <v>14810591</v>
      </c>
      <c r="Z4" s="11">
        <v>15138716</v>
      </c>
      <c r="AA4" s="11">
        <v>20627372</v>
      </c>
      <c r="AB4" s="11">
        <v>100228655</v>
      </c>
      <c r="AC4" s="11"/>
      <c r="AD4" s="12">
        <f>SUM(B4:AC4)</f>
        <v>583827594.02050614</v>
      </c>
    </row>
    <row r="5" spans="1:30" ht="30" x14ac:dyDescent="0.25">
      <c r="A5" s="3" t="s">
        <v>32</v>
      </c>
      <c r="B5" s="11">
        <v>8489</v>
      </c>
      <c r="C5" s="11">
        <v>45204</v>
      </c>
      <c r="D5" s="11">
        <v>824965</v>
      </c>
      <c r="E5" s="11">
        <v>170</v>
      </c>
      <c r="F5" s="11">
        <v>11675</v>
      </c>
      <c r="G5" s="11">
        <v>3995</v>
      </c>
      <c r="H5" s="11">
        <v>10514.95</v>
      </c>
      <c r="I5" s="11">
        <v>240267</v>
      </c>
      <c r="J5" s="11">
        <v>31206</v>
      </c>
      <c r="K5" s="11">
        <v>2705088</v>
      </c>
      <c r="L5" s="11">
        <f>3897+170183+3889</f>
        <v>177969</v>
      </c>
      <c r="M5" s="11">
        <v>847</v>
      </c>
      <c r="N5" s="11">
        <f>66+230+3084</f>
        <v>3380</v>
      </c>
      <c r="O5" s="11">
        <v>49014</v>
      </c>
      <c r="P5" s="11">
        <v>24828</v>
      </c>
      <c r="Q5" s="11">
        <v>18395593</v>
      </c>
      <c r="R5" s="11">
        <f>347134+1508234</f>
        <v>1855368</v>
      </c>
      <c r="S5" s="11">
        <f>175943+460681+4283679</f>
        <v>4920303</v>
      </c>
      <c r="T5" s="11">
        <v>1168</v>
      </c>
      <c r="U5" s="11">
        <f>6537+16370+697202</f>
        <v>720109</v>
      </c>
      <c r="V5" s="11">
        <v>15789.2</v>
      </c>
      <c r="W5" s="11">
        <f>1023+4280+106133</f>
        <v>111436</v>
      </c>
      <c r="X5" s="11">
        <v>149837</v>
      </c>
      <c r="Y5" s="11"/>
      <c r="Z5" s="11">
        <v>70114</v>
      </c>
      <c r="AA5" s="11">
        <v>494780</v>
      </c>
      <c r="AB5" s="11">
        <v>6941296</v>
      </c>
      <c r="AC5" s="11"/>
      <c r="AD5" s="12">
        <f>SUM(B5:AC5)</f>
        <v>37813405.149999999</v>
      </c>
    </row>
    <row r="6" spans="1:30" x14ac:dyDescent="0.25">
      <c r="A6" s="3" t="s">
        <v>33</v>
      </c>
      <c r="B6" s="11">
        <f t="shared" ref="B6:C6" si="0">B8-B7-B5-B4</f>
        <v>31400</v>
      </c>
      <c r="C6" s="11">
        <f t="shared" si="0"/>
        <v>18384</v>
      </c>
      <c r="D6" s="11">
        <f>D8-D7-D5-D4</f>
        <v>202117</v>
      </c>
      <c r="E6" s="11">
        <f t="shared" ref="E6:AD6" si="1">E8-E7-E5-E4</f>
        <v>209</v>
      </c>
      <c r="F6" s="11">
        <f t="shared" si="1"/>
        <v>55898</v>
      </c>
      <c r="G6" s="11">
        <f t="shared" si="1"/>
        <v>0</v>
      </c>
      <c r="H6" s="11">
        <f t="shared" si="1"/>
        <v>43322.989999998361</v>
      </c>
      <c r="I6" s="11">
        <f t="shared" si="1"/>
        <v>11993</v>
      </c>
      <c r="J6" s="11">
        <f t="shared" si="1"/>
        <v>13788</v>
      </c>
      <c r="K6" s="11">
        <f t="shared" si="1"/>
        <v>400599</v>
      </c>
      <c r="L6" s="11">
        <f t="shared" si="1"/>
        <v>15171</v>
      </c>
      <c r="M6" s="11">
        <f t="shared" si="1"/>
        <v>69</v>
      </c>
      <c r="N6" s="11">
        <f t="shared" si="1"/>
        <v>1791</v>
      </c>
      <c r="O6" s="11">
        <f t="shared" si="1"/>
        <v>4053</v>
      </c>
      <c r="P6" s="11">
        <f t="shared" si="1"/>
        <v>0</v>
      </c>
      <c r="Q6" s="11">
        <f t="shared" si="1"/>
        <v>0</v>
      </c>
      <c r="R6" s="11">
        <f t="shared" si="1"/>
        <v>0</v>
      </c>
      <c r="S6" s="11">
        <f t="shared" si="1"/>
        <v>-171058</v>
      </c>
      <c r="T6" s="11">
        <f t="shared" si="1"/>
        <v>1863</v>
      </c>
      <c r="U6" s="11">
        <f t="shared" si="1"/>
        <v>13680</v>
      </c>
      <c r="V6" s="11">
        <f t="shared" si="1"/>
        <v>0</v>
      </c>
      <c r="W6" s="11">
        <f t="shared" si="1"/>
        <v>1585</v>
      </c>
      <c r="X6" s="11">
        <f t="shared" si="1"/>
        <v>4196</v>
      </c>
      <c r="Y6" s="11">
        <f t="shared" si="1"/>
        <v>16935</v>
      </c>
      <c r="Z6" s="11">
        <f t="shared" si="1"/>
        <v>1</v>
      </c>
      <c r="AA6" s="11">
        <f t="shared" si="1"/>
        <v>-13554</v>
      </c>
      <c r="AB6" s="11">
        <f t="shared" si="1"/>
        <v>12920</v>
      </c>
      <c r="AC6" s="11">
        <f t="shared" si="1"/>
        <v>0</v>
      </c>
      <c r="AD6" s="12">
        <f t="shared" si="1"/>
        <v>-695408070.47050619</v>
      </c>
    </row>
    <row r="7" spans="1:30" x14ac:dyDescent="0.25">
      <c r="A7" s="3" t="s">
        <v>34</v>
      </c>
      <c r="B7" s="11">
        <v>2357575</v>
      </c>
      <c r="C7" s="11">
        <v>381149</v>
      </c>
      <c r="D7" s="11">
        <v>5329598</v>
      </c>
      <c r="E7" s="11">
        <v>29484</v>
      </c>
      <c r="F7" s="11">
        <v>127197</v>
      </c>
      <c r="G7" s="11">
        <v>46815</v>
      </c>
      <c r="H7" s="8">
        <v>3510849.7</v>
      </c>
      <c r="I7" s="11">
        <v>1201640</v>
      </c>
      <c r="J7" s="11">
        <v>291229</v>
      </c>
      <c r="K7" s="11">
        <v>6594781</v>
      </c>
      <c r="L7" s="11">
        <f>75570+3300208+75415</f>
        <v>3451193</v>
      </c>
      <c r="M7" s="11">
        <v>815</v>
      </c>
      <c r="N7" s="11">
        <f>4680+22712+220388</f>
        <v>247780</v>
      </c>
      <c r="O7" s="11">
        <v>547403</v>
      </c>
      <c r="P7" s="11">
        <v>229937</v>
      </c>
      <c r="Q7" s="11">
        <v>10905087</v>
      </c>
      <c r="R7" s="11">
        <f>621522+2700401</f>
        <v>3321923</v>
      </c>
      <c r="S7" s="11">
        <f>326146+853967+7940678</f>
        <v>9120791</v>
      </c>
      <c r="T7" s="11">
        <v>29693</v>
      </c>
      <c r="U7" s="11">
        <f>31480+78832+3357502</f>
        <v>3467814</v>
      </c>
      <c r="V7" s="11">
        <v>231295.6</v>
      </c>
      <c r="W7" s="11">
        <f>13452+93684+1692017</f>
        <v>1799153</v>
      </c>
      <c r="X7" s="11">
        <v>1810519</v>
      </c>
      <c r="Y7" s="11">
        <v>4542806</v>
      </c>
      <c r="Z7" s="11">
        <v>572058</v>
      </c>
      <c r="AA7" s="11">
        <v>1928221</v>
      </c>
      <c r="AB7" s="11">
        <v>11690265</v>
      </c>
      <c r="AC7" s="11"/>
      <c r="AD7" s="12">
        <f>SUM(B7:AC7)</f>
        <v>73767071.300000012</v>
      </c>
    </row>
    <row r="8" spans="1:30" s="9" customFormat="1" x14ac:dyDescent="0.25">
      <c r="A8" s="4" t="s">
        <v>35</v>
      </c>
      <c r="B8" s="12">
        <v>21019768</v>
      </c>
      <c r="C8" s="12">
        <v>8193713</v>
      </c>
      <c r="D8" s="12">
        <v>48593153</v>
      </c>
      <c r="E8" s="12">
        <v>123505</v>
      </c>
      <c r="F8" s="12">
        <v>660654</v>
      </c>
      <c r="G8" s="12">
        <v>760380</v>
      </c>
      <c r="H8" s="12">
        <v>13354068.779999999</v>
      </c>
      <c r="I8" s="12">
        <v>12268310</v>
      </c>
      <c r="J8" s="12">
        <v>3314554</v>
      </c>
      <c r="K8" s="12">
        <v>57916641</v>
      </c>
      <c r="L8" s="12">
        <f>475620+30694570+523627</f>
        <v>31693817</v>
      </c>
      <c r="M8" s="12">
        <v>2336</v>
      </c>
      <c r="N8" s="12">
        <f>37885+70166+3107935</f>
        <v>3215986</v>
      </c>
      <c r="O8" s="12">
        <v>4332715</v>
      </c>
      <c r="P8" s="12">
        <v>4185860</v>
      </c>
      <c r="Q8" s="12">
        <v>137214502.48050618</v>
      </c>
      <c r="R8" s="12">
        <f>5698638+24941205</f>
        <v>30639843</v>
      </c>
      <c r="S8" s="12">
        <f>3389419+6961969+73757669</f>
        <v>84109057</v>
      </c>
      <c r="T8" s="12">
        <v>247630</v>
      </c>
      <c r="U8" s="12">
        <f>306370+655977+23233246</f>
        <v>24195593</v>
      </c>
      <c r="V8" s="12">
        <v>3124357.2</v>
      </c>
      <c r="W8" s="12">
        <f>155668+315342+15341340</f>
        <v>15812350</v>
      </c>
      <c r="X8" s="12">
        <v>14033464</v>
      </c>
      <c r="Y8" s="12">
        <v>19370332</v>
      </c>
      <c r="Z8" s="12">
        <v>15780889</v>
      </c>
      <c r="AA8" s="12">
        <v>23036819</v>
      </c>
      <c r="AB8" s="12">
        <v>118873136</v>
      </c>
      <c r="AC8" s="12"/>
      <c r="AD8" s="12"/>
    </row>
    <row r="9" spans="1:30" x14ac:dyDescent="0.25">
      <c r="A9" s="3" t="s">
        <v>36</v>
      </c>
      <c r="B9" s="11">
        <v>18559422</v>
      </c>
      <c r="C9" s="11">
        <v>5006466</v>
      </c>
      <c r="D9" s="11">
        <v>30538581</v>
      </c>
      <c r="E9" s="11">
        <v>222115</v>
      </c>
      <c r="F9" s="11">
        <v>170153</v>
      </c>
      <c r="G9" s="11">
        <v>558151</v>
      </c>
      <c r="H9" s="11">
        <v>10006250.189999999</v>
      </c>
      <c r="I9" s="11">
        <v>8788950</v>
      </c>
      <c r="J9" s="11">
        <v>2189558</v>
      </c>
      <c r="K9" s="11">
        <v>39282142</v>
      </c>
      <c r="L9" s="11">
        <f>400281+21545548+250829</f>
        <v>22196658</v>
      </c>
      <c r="M9" s="11">
        <v>2103</v>
      </c>
      <c r="N9" s="11">
        <f>30139+80638+2608582</f>
        <v>2719359</v>
      </c>
      <c r="O9" s="11">
        <v>3188302</v>
      </c>
      <c r="P9" s="11">
        <v>2340226</v>
      </c>
      <c r="Q9" s="11">
        <v>102823982.57000001</v>
      </c>
      <c r="R9" s="11">
        <f>2724402+14719653</f>
        <v>17444055</v>
      </c>
      <c r="S9" s="11">
        <f>2168495+4353327+52274099</f>
        <v>58795921</v>
      </c>
      <c r="T9" s="11">
        <v>53502</v>
      </c>
      <c r="U9" s="11">
        <f>314242+362684+17198214</f>
        <v>17875140</v>
      </c>
      <c r="V9" s="11">
        <v>1647188.6</v>
      </c>
      <c r="W9" s="11">
        <f>108634+109581+10583582</f>
        <v>10801797</v>
      </c>
      <c r="X9" s="11">
        <v>10012697</v>
      </c>
      <c r="Y9" s="11">
        <v>14941516</v>
      </c>
      <c r="Z9" s="11">
        <v>8145542</v>
      </c>
      <c r="AA9" s="11">
        <v>15902636</v>
      </c>
      <c r="AB9" s="11">
        <v>88010922</v>
      </c>
      <c r="AC9" s="11"/>
      <c r="AD9" s="12">
        <f>SUM(B9:AC9)</f>
        <v>492223335.36000001</v>
      </c>
    </row>
    <row r="10" spans="1:30" x14ac:dyDescent="0.25">
      <c r="A10" s="3" t="s">
        <v>37</v>
      </c>
      <c r="B10" s="11">
        <v>-1253228</v>
      </c>
      <c r="C10" s="11">
        <v>501893</v>
      </c>
      <c r="D10" s="11">
        <v>939289</v>
      </c>
      <c r="E10" s="11">
        <v>-40138</v>
      </c>
      <c r="F10" s="11">
        <v>41767</v>
      </c>
      <c r="G10" s="11">
        <v>120031</v>
      </c>
      <c r="H10" s="11">
        <v>-677101.89</v>
      </c>
      <c r="I10" s="11">
        <v>118733</v>
      </c>
      <c r="J10" s="11">
        <v>91727</v>
      </c>
      <c r="K10" s="11">
        <v>-3279732</v>
      </c>
      <c r="L10" s="11">
        <f>-68212+826120-262516</f>
        <v>495392</v>
      </c>
      <c r="M10" s="11">
        <v>2100</v>
      </c>
      <c r="N10" s="11">
        <f>2328+5891+94835</f>
        <v>103054</v>
      </c>
      <c r="O10" s="11">
        <v>115089</v>
      </c>
      <c r="P10" s="11">
        <v>447973</v>
      </c>
      <c r="Q10" s="11">
        <v>6198578.7570000011</v>
      </c>
      <c r="R10" s="11">
        <f>480025+3815560</f>
        <v>4295585</v>
      </c>
      <c r="S10" s="11">
        <f>221224+526659+3883114</f>
        <v>4630997</v>
      </c>
      <c r="T10" s="11">
        <v>44696</v>
      </c>
      <c r="U10" s="11">
        <f>31777-171436-110726</f>
        <v>-250385</v>
      </c>
      <c r="V10" s="11">
        <v>-245818.6</v>
      </c>
      <c r="W10" s="11">
        <f>2363-33174+595297</f>
        <v>564486</v>
      </c>
      <c r="X10" s="11">
        <v>955925</v>
      </c>
      <c r="Y10" s="11">
        <v>298299</v>
      </c>
      <c r="Z10" s="11">
        <v>610586</v>
      </c>
      <c r="AA10" s="11">
        <v>787540</v>
      </c>
      <c r="AB10" s="11">
        <v>5133518</v>
      </c>
      <c r="AC10" s="11"/>
      <c r="AD10" s="12">
        <f>SUM(B10:AC10)</f>
        <v>20750855.267000001</v>
      </c>
    </row>
    <row r="11" spans="1:30" ht="30" x14ac:dyDescent="0.25">
      <c r="A11" s="3" t="s">
        <v>38</v>
      </c>
      <c r="B11" s="11">
        <v>916199</v>
      </c>
      <c r="C11" s="11">
        <v>2858071</v>
      </c>
      <c r="D11" s="11">
        <v>11407097</v>
      </c>
      <c r="E11" s="11">
        <v>69915</v>
      </c>
      <c r="F11" s="11">
        <v>250258</v>
      </c>
      <c r="G11" s="11">
        <v>1796294</v>
      </c>
      <c r="H11" s="11">
        <v>1855664.81</v>
      </c>
      <c r="I11" s="11">
        <v>3979387</v>
      </c>
      <c r="J11" s="11">
        <v>2168357</v>
      </c>
      <c r="K11" s="11">
        <v>17112042</v>
      </c>
      <c r="L11" s="11">
        <f>90759+7085356+114976</f>
        <v>7291091</v>
      </c>
      <c r="M11" s="11">
        <v>86153</v>
      </c>
      <c r="N11" s="11">
        <f>25559+46047+2201254</f>
        <v>2272860</v>
      </c>
      <c r="O11" s="11">
        <v>1258323</v>
      </c>
      <c r="P11" s="11">
        <v>2212348</v>
      </c>
      <c r="Q11" s="11">
        <v>35131924</v>
      </c>
      <c r="R11" s="11">
        <f>1016393+6302911</f>
        <v>7319304</v>
      </c>
      <c r="S11" s="11">
        <f>996478+3447383+21357048</f>
        <v>25800909</v>
      </c>
      <c r="T11" s="11">
        <v>174076</v>
      </c>
      <c r="U11" s="11">
        <f>93647+228629+6220947</f>
        <v>6543223</v>
      </c>
      <c r="V11" s="11">
        <v>2570513.2999999998</v>
      </c>
      <c r="W11" s="11">
        <f>35086+91969+4418007</f>
        <v>4545062</v>
      </c>
      <c r="X11" s="11">
        <v>4934750</v>
      </c>
      <c r="Y11" s="11">
        <v>1448597</v>
      </c>
      <c r="Z11" s="11">
        <v>4539480</v>
      </c>
      <c r="AA11" s="11">
        <v>6905252</v>
      </c>
      <c r="AB11" s="11">
        <v>29240659</v>
      </c>
      <c r="AC11" s="11"/>
      <c r="AD11" s="12">
        <f>SUM(B11:AC11)</f>
        <v>184687809.11000001</v>
      </c>
    </row>
    <row r="12" spans="1:30" x14ac:dyDescent="0.25">
      <c r="A12" s="3" t="s">
        <v>41</v>
      </c>
      <c r="B12" s="11">
        <f t="shared" ref="B12:AD12" si="2">B13-B11-B10-B9</f>
        <v>-204245</v>
      </c>
      <c r="C12" s="11">
        <f t="shared" si="2"/>
        <v>0</v>
      </c>
      <c r="D12" s="11">
        <f t="shared" si="2"/>
        <v>11491</v>
      </c>
      <c r="E12" s="11">
        <f t="shared" si="2"/>
        <v>35393</v>
      </c>
      <c r="F12" s="11">
        <f t="shared" si="2"/>
        <v>0</v>
      </c>
      <c r="G12" s="11">
        <f t="shared" si="2"/>
        <v>28051</v>
      </c>
      <c r="H12" s="11">
        <f t="shared" si="2"/>
        <v>1102000.5899999999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4885</v>
      </c>
      <c r="M12" s="11">
        <f t="shared" si="2"/>
        <v>13</v>
      </c>
      <c r="N12" s="11">
        <f t="shared" si="2"/>
        <v>10882</v>
      </c>
      <c r="O12" s="11">
        <f t="shared" si="2"/>
        <v>17007</v>
      </c>
      <c r="P12" s="11">
        <f t="shared" si="2"/>
        <v>0</v>
      </c>
      <c r="Q12" s="11">
        <f t="shared" si="2"/>
        <v>91649.000000014901</v>
      </c>
      <c r="R12" s="11">
        <f t="shared" si="2"/>
        <v>6932</v>
      </c>
      <c r="S12" s="11">
        <f t="shared" si="2"/>
        <v>0</v>
      </c>
      <c r="T12" s="11">
        <f t="shared" si="2"/>
        <v>-2942</v>
      </c>
      <c r="U12" s="11">
        <f t="shared" si="2"/>
        <v>25791</v>
      </c>
      <c r="V12" s="11">
        <f t="shared" si="2"/>
        <v>0</v>
      </c>
      <c r="W12" s="11">
        <f t="shared" si="2"/>
        <v>0</v>
      </c>
      <c r="X12" s="11">
        <f t="shared" si="2"/>
        <v>0</v>
      </c>
      <c r="Y12" s="11">
        <f t="shared" si="2"/>
        <v>10000</v>
      </c>
      <c r="Z12" s="11">
        <f t="shared" si="2"/>
        <v>1</v>
      </c>
      <c r="AA12" s="11">
        <f t="shared" si="2"/>
        <v>24244</v>
      </c>
      <c r="AB12" s="11">
        <f t="shared" si="2"/>
        <v>1140178</v>
      </c>
      <c r="AC12" s="11">
        <f t="shared" si="2"/>
        <v>0</v>
      </c>
      <c r="AD12" s="12">
        <f t="shared" si="2"/>
        <v>2301330.5899999738</v>
      </c>
    </row>
    <row r="13" spans="1:30" s="9" customFormat="1" x14ac:dyDescent="0.25">
      <c r="A13" s="4" t="s">
        <v>39</v>
      </c>
      <c r="B13" s="12">
        <v>18018148</v>
      </c>
      <c r="C13" s="12">
        <v>8366430</v>
      </c>
      <c r="D13" s="12">
        <v>42896458</v>
      </c>
      <c r="E13" s="12">
        <v>287285</v>
      </c>
      <c r="F13" s="12">
        <v>462178</v>
      </c>
      <c r="G13" s="12">
        <v>2502527</v>
      </c>
      <c r="H13" s="12">
        <v>12286813.699999999</v>
      </c>
      <c r="I13" s="12">
        <v>12887070</v>
      </c>
      <c r="J13" s="12">
        <v>4449642</v>
      </c>
      <c r="K13" s="12">
        <v>53114452</v>
      </c>
      <c r="L13" s="12">
        <f>427713+29457024+103289</f>
        <v>29988026</v>
      </c>
      <c r="M13" s="12">
        <v>90369</v>
      </c>
      <c r="N13" s="12">
        <f>58026+143458+4904671</f>
        <v>5106155</v>
      </c>
      <c r="O13" s="12">
        <v>4578721</v>
      </c>
      <c r="P13" s="12">
        <v>5000547</v>
      </c>
      <c r="Q13" s="12">
        <v>144246134.32700002</v>
      </c>
      <c r="R13" s="12">
        <f>4221562+24844314</f>
        <v>29065876</v>
      </c>
      <c r="S13" s="12">
        <f>3386197+8327369+77514261</f>
        <v>89227827</v>
      </c>
      <c r="T13" s="12">
        <v>269332</v>
      </c>
      <c r="U13" s="12">
        <f>465457+419877+23308435</f>
        <v>24193769</v>
      </c>
      <c r="V13" s="12">
        <v>3971883.3</v>
      </c>
      <c r="W13" s="12">
        <f>146083+168376+15596886</f>
        <v>15911345</v>
      </c>
      <c r="X13" s="12">
        <v>15903372</v>
      </c>
      <c r="Y13" s="12">
        <v>16698412</v>
      </c>
      <c r="Z13" s="12">
        <v>13295609</v>
      </c>
      <c r="AA13" s="12">
        <v>23619672</v>
      </c>
      <c r="AB13" s="12">
        <v>123525277</v>
      </c>
      <c r="AC13" s="12"/>
      <c r="AD13" s="12">
        <f>SUM(B13:AC13)</f>
        <v>699963330.32700002</v>
      </c>
    </row>
    <row r="14" spans="1:30" s="9" customFormat="1" x14ac:dyDescent="0.25">
      <c r="A14" s="4" t="s">
        <v>40</v>
      </c>
      <c r="B14" s="12">
        <f t="shared" ref="B14:AD14" si="3">B8-B13</f>
        <v>3001620</v>
      </c>
      <c r="C14" s="12">
        <f t="shared" si="3"/>
        <v>-172717</v>
      </c>
      <c r="D14" s="12">
        <f t="shared" si="3"/>
        <v>5696695</v>
      </c>
      <c r="E14" s="12">
        <f t="shared" si="3"/>
        <v>-163780</v>
      </c>
      <c r="F14" s="12">
        <f t="shared" si="3"/>
        <v>198476</v>
      </c>
      <c r="G14" s="12">
        <f t="shared" si="3"/>
        <v>-1742147</v>
      </c>
      <c r="H14" s="12">
        <f t="shared" si="3"/>
        <v>1067255.08</v>
      </c>
      <c r="I14" s="12">
        <f t="shared" si="3"/>
        <v>-618760</v>
      </c>
      <c r="J14" s="12">
        <f t="shared" si="3"/>
        <v>-1135088</v>
      </c>
      <c r="K14" s="12">
        <f t="shared" si="3"/>
        <v>4802189</v>
      </c>
      <c r="L14" s="12">
        <f t="shared" si="3"/>
        <v>1705791</v>
      </c>
      <c r="M14" s="12">
        <f t="shared" si="3"/>
        <v>-88033</v>
      </c>
      <c r="N14" s="12">
        <f t="shared" si="3"/>
        <v>-1890169</v>
      </c>
      <c r="O14" s="12">
        <f t="shared" si="3"/>
        <v>-246006</v>
      </c>
      <c r="P14" s="12">
        <f t="shared" si="3"/>
        <v>-814687</v>
      </c>
      <c r="Q14" s="12">
        <f t="shared" si="3"/>
        <v>-7031631.8464938402</v>
      </c>
      <c r="R14" s="12">
        <f t="shared" si="3"/>
        <v>1573967</v>
      </c>
      <c r="S14" s="12">
        <f t="shared" si="3"/>
        <v>-5118770</v>
      </c>
      <c r="T14" s="12">
        <f t="shared" si="3"/>
        <v>-21702</v>
      </c>
      <c r="U14" s="12">
        <f t="shared" si="3"/>
        <v>1824</v>
      </c>
      <c r="V14" s="12">
        <f t="shared" si="3"/>
        <v>-847526.09999999963</v>
      </c>
      <c r="W14" s="12">
        <f t="shared" si="3"/>
        <v>-98995</v>
      </c>
      <c r="X14" s="12">
        <f t="shared" si="3"/>
        <v>-1869908</v>
      </c>
      <c r="Y14" s="12">
        <f t="shared" si="3"/>
        <v>2671920</v>
      </c>
      <c r="Z14" s="12">
        <f t="shared" si="3"/>
        <v>2485280</v>
      </c>
      <c r="AA14" s="12">
        <f t="shared" si="3"/>
        <v>-582853</v>
      </c>
      <c r="AB14" s="12">
        <f t="shared" si="3"/>
        <v>-4652141</v>
      </c>
      <c r="AC14" s="12">
        <f t="shared" si="3"/>
        <v>0</v>
      </c>
      <c r="AD14" s="12">
        <f t="shared" si="3"/>
        <v>-699963330.32700002</v>
      </c>
    </row>
  </sheetData>
  <pageMargins left="0.7" right="0.7" top="0.75" bottom="0.75" header="0.3" footer="0.3"/>
  <pageSetup paperSize="9" orientation="portrait" r:id="rId1"/>
  <ignoredErrors>
    <ignoredError sqref="AD12 AD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8.85546875" customWidth="1"/>
    <col min="2" max="30" width="16" customWidth="1"/>
    <col min="31" max="31" width="16" style="5" customWidth="1"/>
  </cols>
  <sheetData>
    <row r="1" spans="1:31" ht="18.75" x14ac:dyDescent="0.3">
      <c r="A1" s="112" t="s">
        <v>285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1" x14ac:dyDescent="0.25">
      <c r="A2" s="13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1" s="87" customFormat="1" ht="15" customHeight="1" x14ac:dyDescent="0.25">
      <c r="A3" s="11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3" t="s">
        <v>15</v>
      </c>
      <c r="Q3" s="73" t="s">
        <v>16</v>
      </c>
      <c r="R3" s="73" t="s">
        <v>17</v>
      </c>
      <c r="S3" s="73" t="s">
        <v>18</v>
      </c>
      <c r="T3" s="73" t="s">
        <v>19</v>
      </c>
      <c r="U3" s="73" t="s">
        <v>20</v>
      </c>
      <c r="V3" s="73" t="s">
        <v>21</v>
      </c>
      <c r="W3" s="73" t="s">
        <v>22</v>
      </c>
      <c r="X3" s="73" t="s">
        <v>23</v>
      </c>
      <c r="Y3" s="73" t="s">
        <v>24</v>
      </c>
      <c r="Z3" s="73" t="s">
        <v>25</v>
      </c>
      <c r="AA3" s="73" t="s">
        <v>26</v>
      </c>
      <c r="AB3" s="73" t="s">
        <v>27</v>
      </c>
      <c r="AC3" s="73" t="s">
        <v>28</v>
      </c>
      <c r="AD3" s="73" t="s">
        <v>29</v>
      </c>
      <c r="AE3" s="73" t="s">
        <v>30</v>
      </c>
    </row>
    <row r="4" spans="1:31" s="85" customFormat="1" ht="15" customHeight="1" x14ac:dyDescent="0.25">
      <c r="A4" s="82" t="s">
        <v>52</v>
      </c>
      <c r="AE4" s="83"/>
    </row>
    <row r="5" spans="1:31" s="85" customFormat="1" ht="15" customHeight="1" x14ac:dyDescent="0.25">
      <c r="A5" s="86" t="s">
        <v>53</v>
      </c>
      <c r="AE5" s="83">
        <f t="shared" ref="AE5:AE12" si="0">SUM(B5:AD5)</f>
        <v>0</v>
      </c>
    </row>
    <row r="6" spans="1:31" s="85" customFormat="1" ht="15" customHeight="1" x14ac:dyDescent="0.25">
      <c r="A6" s="86" t="s">
        <v>54</v>
      </c>
      <c r="AE6" s="83">
        <f t="shared" si="0"/>
        <v>0</v>
      </c>
    </row>
    <row r="7" spans="1:31" s="85" customFormat="1" ht="15" customHeight="1" x14ac:dyDescent="0.25">
      <c r="A7" s="86" t="s">
        <v>55</v>
      </c>
      <c r="P7" s="80"/>
      <c r="Q7" s="80"/>
      <c r="R7" s="87">
        <v>452046</v>
      </c>
      <c r="S7" s="80">
        <v>2419620</v>
      </c>
      <c r="AE7" s="83">
        <f t="shared" si="0"/>
        <v>2871666</v>
      </c>
    </row>
    <row r="8" spans="1:31" s="85" customFormat="1" ht="15" customHeight="1" x14ac:dyDescent="0.25">
      <c r="A8" s="86" t="s">
        <v>56</v>
      </c>
      <c r="P8" s="80"/>
      <c r="Q8" s="80"/>
      <c r="R8" s="80"/>
      <c r="S8" s="80">
        <v>881</v>
      </c>
      <c r="AE8" s="83">
        <f t="shared" si="0"/>
        <v>881</v>
      </c>
    </row>
    <row r="9" spans="1:31" s="85" customFormat="1" ht="15" customHeight="1" x14ac:dyDescent="0.25">
      <c r="A9" s="86" t="s">
        <v>57</v>
      </c>
      <c r="P9" s="80"/>
      <c r="Q9" s="80"/>
      <c r="R9" s="80"/>
      <c r="S9" s="80"/>
      <c r="AE9" s="83">
        <f t="shared" si="0"/>
        <v>0</v>
      </c>
    </row>
    <row r="10" spans="1:31" s="85" customFormat="1" ht="15" customHeight="1" x14ac:dyDescent="0.25">
      <c r="A10" s="86" t="s">
        <v>58</v>
      </c>
      <c r="B10" s="85">
        <v>37832</v>
      </c>
      <c r="P10" s="80"/>
      <c r="Q10" s="80"/>
      <c r="R10" s="87">
        <v>1348305</v>
      </c>
      <c r="S10" s="80">
        <v>867988</v>
      </c>
      <c r="AE10" s="83">
        <f t="shared" si="0"/>
        <v>2254125</v>
      </c>
    </row>
    <row r="11" spans="1:31" s="85" customFormat="1" ht="15" customHeight="1" x14ac:dyDescent="0.25">
      <c r="A11" s="86" t="s">
        <v>59</v>
      </c>
      <c r="P11" s="80"/>
      <c r="Q11" s="80"/>
      <c r="R11" s="87">
        <v>248126</v>
      </c>
      <c r="S11" s="80"/>
      <c r="AE11" s="83">
        <f t="shared" si="0"/>
        <v>248126</v>
      </c>
    </row>
    <row r="12" spans="1:31" s="83" customFormat="1" ht="15" customHeight="1" x14ac:dyDescent="0.25">
      <c r="A12" s="84" t="s">
        <v>51</v>
      </c>
      <c r="B12" s="83">
        <f t="shared" ref="B12:AD12" si="1">SUM(B5:B11)</f>
        <v>37832</v>
      </c>
      <c r="C12" s="83">
        <f t="shared" si="1"/>
        <v>0</v>
      </c>
      <c r="D12" s="83">
        <f t="shared" si="1"/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3">
        <f t="shared" si="1"/>
        <v>0</v>
      </c>
      <c r="P12" s="83">
        <f t="shared" si="1"/>
        <v>0</v>
      </c>
      <c r="Q12" s="83">
        <f t="shared" si="1"/>
        <v>0</v>
      </c>
      <c r="R12" s="83">
        <f t="shared" si="1"/>
        <v>2048477</v>
      </c>
      <c r="S12" s="83">
        <f t="shared" si="1"/>
        <v>3288489</v>
      </c>
      <c r="T12" s="83">
        <f t="shared" si="1"/>
        <v>0</v>
      </c>
      <c r="U12" s="83">
        <f t="shared" si="1"/>
        <v>0</v>
      </c>
      <c r="V12" s="83">
        <f t="shared" si="1"/>
        <v>0</v>
      </c>
      <c r="W12" s="83">
        <f t="shared" si="1"/>
        <v>0</v>
      </c>
      <c r="X12" s="83">
        <f t="shared" si="1"/>
        <v>0</v>
      </c>
      <c r="Y12" s="83">
        <f t="shared" si="1"/>
        <v>0</v>
      </c>
      <c r="Z12" s="83">
        <f t="shared" si="1"/>
        <v>0</v>
      </c>
      <c r="AA12" s="83">
        <f t="shared" si="1"/>
        <v>0</v>
      </c>
      <c r="AB12" s="83">
        <f t="shared" si="1"/>
        <v>0</v>
      </c>
      <c r="AC12" s="83">
        <f t="shared" si="1"/>
        <v>0</v>
      </c>
      <c r="AD12" s="83">
        <f t="shared" si="1"/>
        <v>0</v>
      </c>
      <c r="AE12" s="83">
        <f t="shared" si="0"/>
        <v>5374798</v>
      </c>
    </row>
    <row r="13" spans="1:31" s="85" customFormat="1" ht="15" customHeight="1" x14ac:dyDescent="0.25">
      <c r="A13" s="82" t="s">
        <v>60</v>
      </c>
      <c r="AE13" s="83"/>
    </row>
    <row r="14" spans="1:31" s="85" customFormat="1" ht="15" customHeight="1" x14ac:dyDescent="0.25">
      <c r="A14" s="86" t="s">
        <v>61</v>
      </c>
      <c r="P14" s="80"/>
      <c r="Q14" s="80"/>
      <c r="R14" s="87">
        <v>182196</v>
      </c>
      <c r="S14" s="80">
        <v>676975</v>
      </c>
      <c r="AE14" s="83">
        <f t="shared" ref="AE14:AE19" si="2">SUM(B14:AD14)</f>
        <v>859171</v>
      </c>
    </row>
    <row r="15" spans="1:31" s="85" customFormat="1" ht="15" customHeight="1" x14ac:dyDescent="0.25">
      <c r="A15" s="86" t="s">
        <v>62</v>
      </c>
      <c r="P15" s="80"/>
      <c r="Q15" s="80"/>
      <c r="R15" s="80"/>
      <c r="S15" s="80"/>
      <c r="AE15" s="83">
        <f t="shared" si="2"/>
        <v>0</v>
      </c>
    </row>
    <row r="16" spans="1:31" s="85" customFormat="1" ht="15" customHeight="1" x14ac:dyDescent="0.25">
      <c r="A16" s="86" t="s">
        <v>63</v>
      </c>
      <c r="P16" s="80"/>
      <c r="Q16" s="80"/>
      <c r="R16" s="80"/>
      <c r="S16" s="80">
        <v>43493</v>
      </c>
      <c r="AE16" s="83">
        <f t="shared" si="2"/>
        <v>43493</v>
      </c>
    </row>
    <row r="17" spans="1:31" s="85" customFormat="1" ht="15" customHeight="1" x14ac:dyDescent="0.25">
      <c r="A17" s="86" t="s">
        <v>64</v>
      </c>
      <c r="P17" s="80"/>
      <c r="Q17" s="80"/>
      <c r="R17" s="87">
        <v>507337</v>
      </c>
      <c r="S17" s="80">
        <v>755138</v>
      </c>
      <c r="AE17" s="83">
        <f t="shared" si="2"/>
        <v>1262475</v>
      </c>
    </row>
    <row r="18" spans="1:31" s="85" customFormat="1" ht="15" customHeight="1" x14ac:dyDescent="0.25">
      <c r="A18" s="86" t="s">
        <v>65</v>
      </c>
      <c r="B18" s="85">
        <v>37832</v>
      </c>
      <c r="P18" s="80"/>
      <c r="Q18" s="80"/>
      <c r="R18" s="87">
        <v>1358944</v>
      </c>
      <c r="S18" s="80">
        <v>1812883</v>
      </c>
      <c r="AE18" s="83">
        <f t="shared" si="2"/>
        <v>3209659</v>
      </c>
    </row>
    <row r="19" spans="1:31" s="83" customFormat="1" ht="15" customHeight="1" x14ac:dyDescent="0.25">
      <c r="A19" s="84" t="s">
        <v>51</v>
      </c>
      <c r="B19" s="83">
        <f t="shared" ref="B19:AD19" si="3">SUM(B14:B18)</f>
        <v>37832</v>
      </c>
      <c r="C19" s="83">
        <f t="shared" si="3"/>
        <v>0</v>
      </c>
      <c r="D19" s="83">
        <f t="shared" si="3"/>
        <v>0</v>
      </c>
      <c r="E19" s="83">
        <f t="shared" si="3"/>
        <v>0</v>
      </c>
      <c r="F19" s="83">
        <f t="shared" si="3"/>
        <v>0</v>
      </c>
      <c r="G19" s="83">
        <f t="shared" si="3"/>
        <v>0</v>
      </c>
      <c r="H19" s="83">
        <f t="shared" si="3"/>
        <v>0</v>
      </c>
      <c r="I19" s="83">
        <f t="shared" si="3"/>
        <v>0</v>
      </c>
      <c r="J19" s="83">
        <f t="shared" si="3"/>
        <v>0</v>
      </c>
      <c r="K19" s="83">
        <f t="shared" si="3"/>
        <v>0</v>
      </c>
      <c r="L19" s="83">
        <f t="shared" si="3"/>
        <v>0</v>
      </c>
      <c r="M19" s="83">
        <f t="shared" si="3"/>
        <v>0</v>
      </c>
      <c r="N19" s="83">
        <f t="shared" si="3"/>
        <v>0</v>
      </c>
      <c r="O19" s="83">
        <f t="shared" si="3"/>
        <v>0</v>
      </c>
      <c r="P19" s="83">
        <f t="shared" si="3"/>
        <v>0</v>
      </c>
      <c r="Q19" s="83">
        <f t="shared" si="3"/>
        <v>0</v>
      </c>
      <c r="R19" s="83">
        <f t="shared" si="3"/>
        <v>2048477</v>
      </c>
      <c r="S19" s="83">
        <f t="shared" si="3"/>
        <v>3288489</v>
      </c>
      <c r="T19" s="83">
        <f t="shared" si="3"/>
        <v>0</v>
      </c>
      <c r="U19" s="83">
        <f t="shared" si="3"/>
        <v>0</v>
      </c>
      <c r="V19" s="83">
        <f t="shared" si="3"/>
        <v>0</v>
      </c>
      <c r="W19" s="83">
        <f t="shared" si="3"/>
        <v>0</v>
      </c>
      <c r="X19" s="83">
        <f t="shared" si="3"/>
        <v>0</v>
      </c>
      <c r="Y19" s="83">
        <f t="shared" si="3"/>
        <v>0</v>
      </c>
      <c r="Z19" s="83">
        <f t="shared" si="3"/>
        <v>0</v>
      </c>
      <c r="AA19" s="83">
        <f t="shared" si="3"/>
        <v>0</v>
      </c>
      <c r="AB19" s="83">
        <f t="shared" si="3"/>
        <v>0</v>
      </c>
      <c r="AC19" s="83">
        <f t="shared" si="3"/>
        <v>0</v>
      </c>
      <c r="AD19" s="83">
        <f t="shared" si="3"/>
        <v>0</v>
      </c>
      <c r="AE19" s="83">
        <f t="shared" si="2"/>
        <v>5374798</v>
      </c>
    </row>
    <row r="20" spans="1:31" s="85" customFormat="1" ht="15" customHeight="1" x14ac:dyDescent="0.25">
      <c r="A20" s="82" t="s">
        <v>66</v>
      </c>
      <c r="AE20" s="83"/>
    </row>
    <row r="21" spans="1:31" s="85" customFormat="1" ht="15" customHeight="1" x14ac:dyDescent="0.25">
      <c r="A21" s="86" t="s">
        <v>67</v>
      </c>
      <c r="B21" s="85">
        <v>37832</v>
      </c>
      <c r="AE21" s="83">
        <f t="shared" ref="AE21:AE28" si="4">SUM(B21:AD21)</f>
        <v>37832</v>
      </c>
    </row>
    <row r="22" spans="1:31" s="85" customFormat="1" ht="15" customHeight="1" x14ac:dyDescent="0.25">
      <c r="A22" s="86" t="s">
        <v>55</v>
      </c>
      <c r="P22" s="80"/>
      <c r="Q22" s="80"/>
      <c r="R22" s="87">
        <v>1741557</v>
      </c>
      <c r="S22" s="80">
        <v>2566744</v>
      </c>
      <c r="AE22" s="83">
        <f t="shared" si="4"/>
        <v>4308301</v>
      </c>
    </row>
    <row r="23" spans="1:31" s="85" customFormat="1" ht="15" customHeight="1" x14ac:dyDescent="0.25">
      <c r="A23" s="86" t="s">
        <v>56</v>
      </c>
      <c r="S23" s="85">
        <v>881</v>
      </c>
      <c r="AE23" s="83">
        <f t="shared" si="4"/>
        <v>881</v>
      </c>
    </row>
    <row r="24" spans="1:31" s="85" customFormat="1" ht="15" customHeight="1" x14ac:dyDescent="0.25">
      <c r="A24" s="86" t="s">
        <v>68</v>
      </c>
      <c r="AE24" s="83">
        <f t="shared" si="4"/>
        <v>0</v>
      </c>
    </row>
    <row r="25" spans="1:31" s="85" customFormat="1" ht="15" customHeight="1" x14ac:dyDescent="0.25">
      <c r="A25" s="86" t="s">
        <v>55</v>
      </c>
      <c r="R25" s="87">
        <v>306920</v>
      </c>
      <c r="S25" s="85">
        <v>677371</v>
      </c>
      <c r="AE25" s="83">
        <f t="shared" si="4"/>
        <v>984291</v>
      </c>
    </row>
    <row r="26" spans="1:31" s="85" customFormat="1" ht="15" customHeight="1" x14ac:dyDescent="0.25">
      <c r="A26" s="86" t="s">
        <v>56</v>
      </c>
      <c r="AE26" s="83">
        <f t="shared" si="4"/>
        <v>0</v>
      </c>
    </row>
    <row r="27" spans="1:31" s="85" customFormat="1" ht="15" customHeight="1" x14ac:dyDescent="0.25">
      <c r="A27" s="86" t="s">
        <v>69</v>
      </c>
      <c r="S27" s="85">
        <v>43493</v>
      </c>
      <c r="AE27" s="83">
        <f t="shared" si="4"/>
        <v>43493</v>
      </c>
    </row>
    <row r="28" spans="1:31" s="83" customFormat="1" ht="15" customHeight="1" x14ac:dyDescent="0.25">
      <c r="A28" s="84" t="s">
        <v>51</v>
      </c>
      <c r="B28" s="83">
        <f t="shared" ref="B28:AD28" si="5">SUM(B21:B27)</f>
        <v>37832</v>
      </c>
      <c r="C28" s="83">
        <f t="shared" si="5"/>
        <v>0</v>
      </c>
      <c r="D28" s="83">
        <f t="shared" si="5"/>
        <v>0</v>
      </c>
      <c r="E28" s="83">
        <f t="shared" si="5"/>
        <v>0</v>
      </c>
      <c r="F28" s="83">
        <f t="shared" si="5"/>
        <v>0</v>
      </c>
      <c r="G28" s="83">
        <f t="shared" si="5"/>
        <v>0</v>
      </c>
      <c r="H28" s="83">
        <f t="shared" si="5"/>
        <v>0</v>
      </c>
      <c r="I28" s="83">
        <f t="shared" si="5"/>
        <v>0</v>
      </c>
      <c r="J28" s="83">
        <f t="shared" si="5"/>
        <v>0</v>
      </c>
      <c r="K28" s="83">
        <f t="shared" si="5"/>
        <v>0</v>
      </c>
      <c r="L28" s="83">
        <f t="shared" si="5"/>
        <v>0</v>
      </c>
      <c r="M28" s="83">
        <f t="shared" si="5"/>
        <v>0</v>
      </c>
      <c r="N28" s="83">
        <f t="shared" si="5"/>
        <v>0</v>
      </c>
      <c r="O28" s="83">
        <f t="shared" si="5"/>
        <v>0</v>
      </c>
      <c r="P28" s="83">
        <f t="shared" si="5"/>
        <v>0</v>
      </c>
      <c r="Q28" s="83">
        <f t="shared" si="5"/>
        <v>0</v>
      </c>
      <c r="R28" s="83">
        <f t="shared" si="5"/>
        <v>2048477</v>
      </c>
      <c r="S28" s="83">
        <f t="shared" si="5"/>
        <v>3288489</v>
      </c>
      <c r="T28" s="83">
        <f t="shared" si="5"/>
        <v>0</v>
      </c>
      <c r="U28" s="83">
        <f t="shared" si="5"/>
        <v>0</v>
      </c>
      <c r="V28" s="83">
        <f t="shared" si="5"/>
        <v>0</v>
      </c>
      <c r="W28" s="83">
        <f t="shared" si="5"/>
        <v>0</v>
      </c>
      <c r="X28" s="83">
        <f t="shared" si="5"/>
        <v>0</v>
      </c>
      <c r="Y28" s="83">
        <f t="shared" si="5"/>
        <v>0</v>
      </c>
      <c r="Z28" s="83">
        <f t="shared" si="5"/>
        <v>0</v>
      </c>
      <c r="AA28" s="83">
        <f t="shared" si="5"/>
        <v>0</v>
      </c>
      <c r="AB28" s="83">
        <f t="shared" si="5"/>
        <v>0</v>
      </c>
      <c r="AC28" s="83">
        <f t="shared" si="5"/>
        <v>0</v>
      </c>
      <c r="AD28" s="83">
        <f t="shared" si="5"/>
        <v>0</v>
      </c>
      <c r="AE28" s="83">
        <f t="shared" si="4"/>
        <v>5374798</v>
      </c>
    </row>
    <row r="29" spans="1:31" s="85" customFormat="1" ht="15" customHeight="1" x14ac:dyDescent="0.25">
      <c r="A29" s="82" t="s">
        <v>70</v>
      </c>
      <c r="AE29" s="83"/>
    </row>
    <row r="30" spans="1:31" s="85" customFormat="1" ht="15" customHeight="1" x14ac:dyDescent="0.25">
      <c r="A30" s="86" t="s">
        <v>71</v>
      </c>
      <c r="B30" s="85">
        <v>3963</v>
      </c>
      <c r="P30" s="80"/>
      <c r="Q30" s="80"/>
      <c r="R30" s="87">
        <v>1840</v>
      </c>
      <c r="S30" s="80"/>
      <c r="AE30" s="83">
        <f>SUM(B30:AD30)</f>
        <v>5803</v>
      </c>
    </row>
    <row r="31" spans="1:31" s="85" customFormat="1" ht="15" customHeight="1" x14ac:dyDescent="0.25">
      <c r="A31" s="86" t="s">
        <v>72</v>
      </c>
      <c r="B31" s="85">
        <v>33869</v>
      </c>
      <c r="P31" s="80"/>
      <c r="Q31" s="80"/>
      <c r="R31" s="87">
        <v>2046637</v>
      </c>
      <c r="S31" s="80">
        <v>3288489</v>
      </c>
      <c r="AE31" s="83">
        <f>SUM(B31:AD31)</f>
        <v>5368995</v>
      </c>
    </row>
    <row r="32" spans="1:31" s="83" customFormat="1" ht="15" customHeight="1" x14ac:dyDescent="0.25">
      <c r="A32" s="84" t="s">
        <v>51</v>
      </c>
      <c r="B32" s="83">
        <f t="shared" ref="B32:AD32" si="6">SUM(B30:B31)</f>
        <v>37832</v>
      </c>
      <c r="C32" s="83">
        <f t="shared" si="6"/>
        <v>0</v>
      </c>
      <c r="D32" s="83">
        <f t="shared" si="6"/>
        <v>0</v>
      </c>
      <c r="E32" s="83">
        <f t="shared" si="6"/>
        <v>0</v>
      </c>
      <c r="F32" s="83">
        <f t="shared" si="6"/>
        <v>0</v>
      </c>
      <c r="G32" s="83">
        <f t="shared" si="6"/>
        <v>0</v>
      </c>
      <c r="H32" s="83">
        <f t="shared" si="6"/>
        <v>0</v>
      </c>
      <c r="I32" s="83">
        <f t="shared" si="6"/>
        <v>0</v>
      </c>
      <c r="J32" s="83">
        <f t="shared" si="6"/>
        <v>0</v>
      </c>
      <c r="K32" s="83">
        <f t="shared" si="6"/>
        <v>0</v>
      </c>
      <c r="L32" s="83">
        <f t="shared" si="6"/>
        <v>0</v>
      </c>
      <c r="M32" s="83">
        <f t="shared" si="6"/>
        <v>0</v>
      </c>
      <c r="N32" s="83">
        <f t="shared" si="6"/>
        <v>0</v>
      </c>
      <c r="O32" s="83">
        <f t="shared" si="6"/>
        <v>0</v>
      </c>
      <c r="P32" s="83">
        <f t="shared" si="6"/>
        <v>0</v>
      </c>
      <c r="Q32" s="83">
        <f t="shared" si="6"/>
        <v>0</v>
      </c>
      <c r="R32" s="83">
        <f t="shared" si="6"/>
        <v>2048477</v>
      </c>
      <c r="S32" s="83">
        <f t="shared" si="6"/>
        <v>3288489</v>
      </c>
      <c r="T32" s="83">
        <f t="shared" si="6"/>
        <v>0</v>
      </c>
      <c r="U32" s="83">
        <f t="shared" si="6"/>
        <v>0</v>
      </c>
      <c r="V32" s="83">
        <f t="shared" si="6"/>
        <v>0</v>
      </c>
      <c r="W32" s="83">
        <f t="shared" si="6"/>
        <v>0</v>
      </c>
      <c r="X32" s="83">
        <f t="shared" si="6"/>
        <v>0</v>
      </c>
      <c r="Y32" s="83">
        <f t="shared" si="6"/>
        <v>0</v>
      </c>
      <c r="Z32" s="83">
        <f t="shared" si="6"/>
        <v>0</v>
      </c>
      <c r="AA32" s="83">
        <f t="shared" si="6"/>
        <v>0</v>
      </c>
      <c r="AB32" s="83">
        <f t="shared" si="6"/>
        <v>0</v>
      </c>
      <c r="AC32" s="83">
        <f t="shared" si="6"/>
        <v>0</v>
      </c>
      <c r="AD32" s="83">
        <f t="shared" si="6"/>
        <v>0</v>
      </c>
      <c r="AE32" s="83">
        <f>SUM(B32:AD32)</f>
        <v>5374798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8" customWidth="1"/>
    <col min="2" max="29" width="16" style="8" customWidth="1"/>
    <col min="30" max="30" width="16" style="9" customWidth="1"/>
    <col min="31" max="16384" width="9.140625" style="8"/>
  </cols>
  <sheetData>
    <row r="1" spans="1:30" ht="18.75" x14ac:dyDescent="0.3">
      <c r="A1" s="15" t="s">
        <v>284</v>
      </c>
    </row>
    <row r="2" spans="1:30" x14ac:dyDescent="0.25">
      <c r="A2" s="7" t="s">
        <v>43</v>
      </c>
    </row>
    <row r="3" spans="1:30" x14ac:dyDescent="0.25">
      <c r="A3" s="1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10</v>
      </c>
      <c r="K3" s="45" t="s">
        <v>11</v>
      </c>
      <c r="L3" s="45" t="s">
        <v>12</v>
      </c>
      <c r="M3" s="45" t="s">
        <v>13</v>
      </c>
      <c r="N3" s="45" t="s">
        <v>14</v>
      </c>
      <c r="O3" s="45" t="s">
        <v>15</v>
      </c>
      <c r="P3" s="45" t="s">
        <v>16</v>
      </c>
      <c r="Q3" s="45" t="s">
        <v>17</v>
      </c>
      <c r="R3" s="45" t="s">
        <v>18</v>
      </c>
      <c r="S3" s="45" t="s">
        <v>19</v>
      </c>
      <c r="T3" s="45" t="s">
        <v>20</v>
      </c>
      <c r="U3" s="45" t="s">
        <v>21</v>
      </c>
      <c r="V3" s="45" t="s">
        <v>22</v>
      </c>
      <c r="W3" s="45" t="s">
        <v>23</v>
      </c>
      <c r="X3" s="45" t="s">
        <v>24</v>
      </c>
      <c r="Y3" s="45" t="s">
        <v>25</v>
      </c>
      <c r="Z3" s="45" t="s">
        <v>26</v>
      </c>
      <c r="AA3" s="45" t="s">
        <v>27</v>
      </c>
      <c r="AB3" s="46" t="s">
        <v>28</v>
      </c>
      <c r="AC3" s="45" t="s">
        <v>29</v>
      </c>
      <c r="AD3" s="45" t="s">
        <v>30</v>
      </c>
    </row>
    <row r="4" spans="1:30" x14ac:dyDescent="0.25">
      <c r="A4" s="3" t="s">
        <v>73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>
        <f>SUM(B4:AC4)</f>
        <v>0</v>
      </c>
    </row>
    <row r="5" spans="1:30" x14ac:dyDescent="0.25">
      <c r="A5" s="3" t="s">
        <v>74</v>
      </c>
      <c r="B5" s="11">
        <v>195630</v>
      </c>
      <c r="C5" s="11">
        <f>115999+1873</f>
        <v>117872</v>
      </c>
      <c r="D5" s="11">
        <v>10238</v>
      </c>
      <c r="E5" s="11">
        <v>43876</v>
      </c>
      <c r="F5" s="11">
        <v>63409</v>
      </c>
      <c r="G5" s="11">
        <v>112</v>
      </c>
      <c r="H5" s="11">
        <v>4645.76</v>
      </c>
      <c r="I5" s="11">
        <v>34198</v>
      </c>
      <c r="J5" s="11">
        <v>114573</v>
      </c>
      <c r="K5" s="11">
        <v>696708</v>
      </c>
      <c r="L5" s="11">
        <v>9032</v>
      </c>
      <c r="M5" s="11">
        <v>73739</v>
      </c>
      <c r="N5" s="11">
        <v>84117</v>
      </c>
      <c r="O5" s="11">
        <v>17365</v>
      </c>
      <c r="P5" s="11">
        <f>83387+1116</f>
        <v>84503</v>
      </c>
      <c r="Q5" s="11">
        <v>227564</v>
      </c>
      <c r="R5" s="11">
        <v>31115</v>
      </c>
      <c r="S5" s="11">
        <v>55544</v>
      </c>
      <c r="T5" s="11">
        <v>77</v>
      </c>
      <c r="U5" s="11">
        <v>171676</v>
      </c>
      <c r="V5" s="11">
        <v>300554</v>
      </c>
      <c r="W5" s="11">
        <v>73652</v>
      </c>
      <c r="X5" s="11">
        <v>247005</v>
      </c>
      <c r="Y5" s="11">
        <v>5574</v>
      </c>
      <c r="Z5" s="11">
        <v>224527</v>
      </c>
      <c r="AA5" s="11">
        <v>190934</v>
      </c>
      <c r="AB5" s="11">
        <v>200700</v>
      </c>
      <c r="AC5" s="11">
        <v>21919</v>
      </c>
      <c r="AD5" s="12">
        <f>SUM(B5:AC5)</f>
        <v>3300858.76</v>
      </c>
    </row>
    <row r="6" spans="1:30" x14ac:dyDescent="0.25">
      <c r="A6" s="3" t="s">
        <v>75</v>
      </c>
      <c r="B6" s="11"/>
      <c r="C6" s="11"/>
      <c r="D6" s="11"/>
      <c r="E6" s="11"/>
      <c r="F6" s="11">
        <v>58032</v>
      </c>
      <c r="G6" s="11"/>
      <c r="H6" s="11">
        <v>748152.33</v>
      </c>
      <c r="I6" s="11"/>
      <c r="J6" s="11"/>
      <c r="K6" s="11">
        <v>2411770</v>
      </c>
      <c r="L6" s="11">
        <v>37849</v>
      </c>
      <c r="M6" s="11"/>
      <c r="N6" s="11"/>
      <c r="O6" s="11"/>
      <c r="P6" s="11"/>
      <c r="Q6" s="11">
        <v>6452</v>
      </c>
      <c r="R6" s="11">
        <v>78234</v>
      </c>
      <c r="S6" s="11">
        <v>1109</v>
      </c>
      <c r="T6" s="11"/>
      <c r="U6" s="11"/>
      <c r="V6" s="11"/>
      <c r="W6" s="11"/>
      <c r="X6" s="11"/>
      <c r="Y6" s="11"/>
      <c r="Z6" s="11">
        <v>75600</v>
      </c>
      <c r="AA6" s="11">
        <v>35590</v>
      </c>
      <c r="AB6" s="11">
        <v>116971</v>
      </c>
      <c r="AC6" s="11"/>
      <c r="AD6" s="12">
        <f>SUM(B6:AC6)</f>
        <v>3569759.33</v>
      </c>
    </row>
    <row r="7" spans="1:30" x14ac:dyDescent="0.25">
      <c r="A7" s="3" t="s">
        <v>76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305363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1815</v>
      </c>
      <c r="AC7" s="11"/>
      <c r="AD7" s="12">
        <f>SUM(B7:AC7)</f>
        <v>307178</v>
      </c>
    </row>
    <row r="8" spans="1:30" x14ac:dyDescent="0.25">
      <c r="A8" s="3" t="s">
        <v>77</v>
      </c>
      <c r="B8" s="11"/>
      <c r="C8" s="11"/>
      <c r="D8" s="11">
        <v>15931</v>
      </c>
      <c r="E8" s="11">
        <v>8804</v>
      </c>
      <c r="F8" s="11"/>
      <c r="G8" s="11"/>
      <c r="H8" s="11">
        <v>45363.23</v>
      </c>
      <c r="I8" s="11">
        <v>40476</v>
      </c>
      <c r="J8" s="11"/>
      <c r="K8" s="11"/>
      <c r="L8" s="11"/>
      <c r="M8" s="11">
        <v>2155</v>
      </c>
      <c r="N8" s="11"/>
      <c r="O8" s="11"/>
      <c r="P8" s="11">
        <v>68109</v>
      </c>
      <c r="Q8" s="11"/>
      <c r="R8" s="11">
        <v>15690</v>
      </c>
      <c r="S8" s="11">
        <v>24877</v>
      </c>
      <c r="T8" s="11">
        <v>1</v>
      </c>
      <c r="U8" s="11">
        <v>23654</v>
      </c>
      <c r="V8" s="11">
        <v>6865</v>
      </c>
      <c r="W8" s="11">
        <v>116741</v>
      </c>
      <c r="X8" s="11">
        <v>133224</v>
      </c>
      <c r="Y8" s="11">
        <v>41717</v>
      </c>
      <c r="Z8" s="11"/>
      <c r="AA8" s="11">
        <v>66422</v>
      </c>
      <c r="AB8" s="11">
        <v>57081</v>
      </c>
      <c r="AC8" s="11">
        <v>23825</v>
      </c>
      <c r="AD8" s="12">
        <f>SUM(B8:AC8)</f>
        <v>690935.23</v>
      </c>
    </row>
    <row r="9" spans="1:30" x14ac:dyDescent="0.25">
      <c r="A9" s="3" t="s">
        <v>78</v>
      </c>
      <c r="B9" s="11">
        <v>299091</v>
      </c>
      <c r="C9" s="11"/>
      <c r="D9" s="11">
        <v>2381217</v>
      </c>
      <c r="E9" s="11"/>
      <c r="F9" s="11">
        <v>315597</v>
      </c>
      <c r="G9" s="11"/>
      <c r="H9" s="11">
        <v>313485.84000000003</v>
      </c>
      <c r="I9" s="11"/>
      <c r="J9" s="11"/>
      <c r="K9" s="11">
        <v>215199</v>
      </c>
      <c r="L9" s="11">
        <v>11045</v>
      </c>
      <c r="M9" s="11"/>
      <c r="N9" s="11"/>
      <c r="O9" s="11"/>
      <c r="P9" s="11"/>
      <c r="Q9" s="11">
        <v>234422</v>
      </c>
      <c r="R9" s="11">
        <v>834908</v>
      </c>
      <c r="S9" s="11">
        <v>616484</v>
      </c>
      <c r="T9" s="11"/>
      <c r="U9" s="11"/>
      <c r="V9" s="11"/>
      <c r="W9" s="11"/>
      <c r="X9" s="11"/>
      <c r="Y9" s="11">
        <v>82220</v>
      </c>
      <c r="Z9" s="11"/>
      <c r="AA9" s="11">
        <v>501333</v>
      </c>
      <c r="AB9" s="11">
        <v>198549</v>
      </c>
      <c r="AC9" s="11"/>
      <c r="AD9" s="12">
        <f>SUM(B9:AC9)</f>
        <v>6003550.8399999999</v>
      </c>
    </row>
    <row r="10" spans="1:30" x14ac:dyDescent="0.25">
      <c r="A10" s="3" t="s">
        <v>79</v>
      </c>
      <c r="B10" s="11">
        <v>5480</v>
      </c>
      <c r="C10" s="11">
        <v>8434</v>
      </c>
      <c r="D10" s="11">
        <v>127476</v>
      </c>
      <c r="E10" s="11">
        <v>4984</v>
      </c>
      <c r="F10" s="11">
        <v>9134</v>
      </c>
      <c r="G10" s="11"/>
      <c r="H10" s="11">
        <v>26731.03</v>
      </c>
      <c r="I10" s="11">
        <v>5365</v>
      </c>
      <c r="J10" s="11">
        <v>10703</v>
      </c>
      <c r="K10" s="11">
        <v>153694</v>
      </c>
      <c r="L10" s="11">
        <v>49950</v>
      </c>
      <c r="M10" s="11"/>
      <c r="N10" s="11">
        <v>1439</v>
      </c>
      <c r="O10" s="11">
        <v>4729</v>
      </c>
      <c r="P10" s="11">
        <v>6500</v>
      </c>
      <c r="Q10" s="11">
        <v>96071</v>
      </c>
      <c r="R10" s="11">
        <v>200954</v>
      </c>
      <c r="S10" s="11">
        <v>74340</v>
      </c>
      <c r="T10" s="11">
        <v>1417</v>
      </c>
      <c r="U10" s="11">
        <v>16321</v>
      </c>
      <c r="V10" s="11">
        <v>302</v>
      </c>
      <c r="W10" s="11">
        <v>11592</v>
      </c>
      <c r="X10" s="11">
        <v>12791</v>
      </c>
      <c r="Y10" s="11">
        <v>13214</v>
      </c>
      <c r="Z10" s="11">
        <v>96247</v>
      </c>
      <c r="AA10" s="11">
        <v>9582</v>
      </c>
      <c r="AB10" s="11">
        <v>71779</v>
      </c>
      <c r="AC10" s="11">
        <v>33137</v>
      </c>
      <c r="AD10" s="12">
        <f>SUM(B10:AC10)</f>
        <v>1052366.03</v>
      </c>
    </row>
    <row r="11" spans="1:30" x14ac:dyDescent="0.25">
      <c r="A11" s="3" t="s">
        <v>80</v>
      </c>
      <c r="B11" s="11">
        <v>55572</v>
      </c>
      <c r="C11" s="11">
        <v>62971</v>
      </c>
      <c r="D11" s="11">
        <v>125994</v>
      </c>
      <c r="E11" s="11">
        <v>59816</v>
      </c>
      <c r="F11" s="11">
        <v>73305</v>
      </c>
      <c r="G11" s="11">
        <v>4</v>
      </c>
      <c r="H11" s="11">
        <v>20013.810000000001</v>
      </c>
      <c r="I11" s="11">
        <v>44269</v>
      </c>
      <c r="J11" s="11">
        <v>11575</v>
      </c>
      <c r="K11" s="11">
        <v>104614</v>
      </c>
      <c r="L11" s="11">
        <v>82390</v>
      </c>
      <c r="M11" s="11">
        <v>52819</v>
      </c>
      <c r="N11" s="11">
        <v>66820</v>
      </c>
      <c r="O11" s="11">
        <v>8364</v>
      </c>
      <c r="P11" s="11">
        <f>23313+12081</f>
        <v>35394</v>
      </c>
      <c r="Q11" s="11">
        <v>190188</v>
      </c>
      <c r="R11" s="11">
        <v>482935</v>
      </c>
      <c r="S11" s="11">
        <v>70370</v>
      </c>
      <c r="T11" s="11">
        <v>702</v>
      </c>
      <c r="U11" s="11">
        <v>59983</v>
      </c>
      <c r="V11" s="11">
        <v>47314</v>
      </c>
      <c r="W11" s="11">
        <f>48448+18209</f>
        <v>66657</v>
      </c>
      <c r="X11" s="11">
        <v>98450</v>
      </c>
      <c r="Y11" s="11">
        <v>41069</v>
      </c>
      <c r="Z11" s="11">
        <v>173621</v>
      </c>
      <c r="AA11" s="11">
        <v>121051</v>
      </c>
      <c r="AB11" s="11">
        <v>189580</v>
      </c>
      <c r="AC11" s="11">
        <v>135059</v>
      </c>
      <c r="AD11" s="12">
        <f>SUM(B11:AC11)</f>
        <v>2480899.81</v>
      </c>
    </row>
    <row r="12" spans="1:30" x14ac:dyDescent="0.25">
      <c r="A12" s="3" t="s">
        <v>81</v>
      </c>
      <c r="B12" s="11">
        <v>12755</v>
      </c>
      <c r="C12" s="11">
        <v>20310</v>
      </c>
      <c r="D12" s="11">
        <v>8989</v>
      </c>
      <c r="E12" s="11">
        <v>11278</v>
      </c>
      <c r="F12" s="11">
        <v>16415</v>
      </c>
      <c r="G12" s="11"/>
      <c r="H12" s="11">
        <v>6894.66</v>
      </c>
      <c r="I12" s="11"/>
      <c r="J12" s="11"/>
      <c r="K12" s="11"/>
      <c r="L12" s="11">
        <v>4262</v>
      </c>
      <c r="M12" s="11">
        <v>6631</v>
      </c>
      <c r="N12" s="11">
        <v>1560</v>
      </c>
      <c r="O12" s="11">
        <v>1036</v>
      </c>
      <c r="P12" s="11"/>
      <c r="Q12" s="11">
        <v>348914</v>
      </c>
      <c r="R12" s="11">
        <v>672926</v>
      </c>
      <c r="S12" s="11">
        <v>390321</v>
      </c>
      <c r="T12" s="11">
        <v>2205</v>
      </c>
      <c r="U12" s="11"/>
      <c r="V12" s="11">
        <v>4203</v>
      </c>
      <c r="W12" s="11">
        <v>2979</v>
      </c>
      <c r="X12" s="11"/>
      <c r="Y12" s="11">
        <v>1340</v>
      </c>
      <c r="Z12" s="11">
        <v>6730</v>
      </c>
      <c r="AA12" s="11">
        <v>11879</v>
      </c>
      <c r="AB12" s="11">
        <v>375331</v>
      </c>
      <c r="AC12" s="11">
        <v>2395</v>
      </c>
      <c r="AD12" s="12">
        <f>SUM(B12:AC12)</f>
        <v>1909353.6600000001</v>
      </c>
    </row>
    <row r="13" spans="1:30" x14ac:dyDescent="0.25">
      <c r="A13" s="3" t="s">
        <v>82</v>
      </c>
      <c r="B13" s="11">
        <v>1873</v>
      </c>
      <c r="C13" s="11">
        <v>6393</v>
      </c>
      <c r="D13" s="11">
        <v>51137</v>
      </c>
      <c r="E13" s="11">
        <v>7804</v>
      </c>
      <c r="F13" s="11">
        <v>3418</v>
      </c>
      <c r="G13" s="11">
        <v>207</v>
      </c>
      <c r="H13" s="11">
        <v>15686.67</v>
      </c>
      <c r="I13" s="11">
        <v>16639</v>
      </c>
      <c r="J13" s="11">
        <v>2540</v>
      </c>
      <c r="K13" s="11">
        <v>148296</v>
      </c>
      <c r="L13" s="11">
        <v>14153</v>
      </c>
      <c r="M13" s="11">
        <v>210</v>
      </c>
      <c r="N13" s="11">
        <v>17798</v>
      </c>
      <c r="O13" s="11">
        <v>1629</v>
      </c>
      <c r="P13" s="11">
        <v>28787</v>
      </c>
      <c r="Q13" s="11">
        <v>39402</v>
      </c>
      <c r="R13" s="11">
        <v>17305</v>
      </c>
      <c r="S13" s="11">
        <v>16638</v>
      </c>
      <c r="T13" s="11">
        <v>116</v>
      </c>
      <c r="U13" s="11">
        <v>47000</v>
      </c>
      <c r="V13" s="11">
        <v>5494</v>
      </c>
      <c r="W13" s="11">
        <v>40226</v>
      </c>
      <c r="X13" s="11">
        <v>21184</v>
      </c>
      <c r="Y13" s="11">
        <v>16806</v>
      </c>
      <c r="Z13" s="11">
        <v>43918</v>
      </c>
      <c r="AA13" s="11">
        <v>31700</v>
      </c>
      <c r="AB13" s="11">
        <v>20660</v>
      </c>
      <c r="AC13" s="11">
        <v>12188</v>
      </c>
      <c r="AD13" s="12">
        <f>SUM(B13:AC13)</f>
        <v>629207.66999999993</v>
      </c>
    </row>
    <row r="14" spans="1:30" x14ac:dyDescent="0.25">
      <c r="A14" s="3" t="s">
        <v>83</v>
      </c>
      <c r="B14" s="11"/>
      <c r="C14" s="11"/>
      <c r="D14" s="11"/>
      <c r="E14" s="11"/>
      <c r="F14" s="11">
        <v>13974</v>
      </c>
      <c r="G14" s="11"/>
      <c r="H14" s="11"/>
      <c r="I14" s="11"/>
      <c r="J14" s="11"/>
      <c r="K14" s="11"/>
      <c r="L14" s="11"/>
      <c r="M14" s="11"/>
      <c r="N14" s="11"/>
      <c r="O14" s="11">
        <v>1958</v>
      </c>
      <c r="P14" s="11"/>
      <c r="Q14" s="11">
        <v>76726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>
        <v>146689</v>
      </c>
      <c r="AC14" s="11"/>
      <c r="AD14" s="12">
        <f>SUM(B14:AC14)</f>
        <v>239347</v>
      </c>
    </row>
    <row r="15" spans="1:30" x14ac:dyDescent="0.25">
      <c r="A15" s="3" t="s">
        <v>84</v>
      </c>
      <c r="B15" s="11">
        <f t="shared" ref="B15:AC15" si="0">B16-B14-B13-B12-B11-B10-B9-B8-B7-B6-B5-B4</f>
        <v>4086</v>
      </c>
      <c r="C15" s="11">
        <f t="shared" si="0"/>
        <v>0</v>
      </c>
      <c r="D15" s="11">
        <f t="shared" si="0"/>
        <v>0</v>
      </c>
      <c r="E15" s="11">
        <f t="shared" si="0"/>
        <v>0</v>
      </c>
      <c r="F15" s="11">
        <f t="shared" si="0"/>
        <v>49171</v>
      </c>
      <c r="G15" s="11">
        <f t="shared" si="0"/>
        <v>-1</v>
      </c>
      <c r="H15" s="11">
        <f t="shared" si="0"/>
        <v>1.255102688446641E-10</v>
      </c>
      <c r="I15" s="11">
        <f t="shared" si="0"/>
        <v>0</v>
      </c>
      <c r="J15" s="11">
        <f t="shared" si="0"/>
        <v>1396</v>
      </c>
      <c r="K15" s="11">
        <f t="shared" si="0"/>
        <v>0</v>
      </c>
      <c r="L15" s="11">
        <f t="shared" si="0"/>
        <v>0</v>
      </c>
      <c r="M15" s="11">
        <f t="shared" si="0"/>
        <v>0</v>
      </c>
      <c r="N15" s="11">
        <f t="shared" si="0"/>
        <v>27074</v>
      </c>
      <c r="O15" s="11">
        <f t="shared" si="0"/>
        <v>1</v>
      </c>
      <c r="P15" s="11">
        <f t="shared" si="0"/>
        <v>0</v>
      </c>
      <c r="Q15" s="11">
        <f t="shared" si="0"/>
        <v>171965</v>
      </c>
      <c r="R15" s="11">
        <f t="shared" si="0"/>
        <v>122031</v>
      </c>
      <c r="S15" s="11">
        <f t="shared" si="0"/>
        <v>78849</v>
      </c>
      <c r="T15" s="11">
        <f t="shared" si="0"/>
        <v>0</v>
      </c>
      <c r="U15" s="11">
        <f t="shared" si="0"/>
        <v>216</v>
      </c>
      <c r="V15" s="11">
        <f t="shared" si="0"/>
        <v>-1</v>
      </c>
      <c r="W15" s="11">
        <f t="shared" si="0"/>
        <v>0</v>
      </c>
      <c r="X15" s="11">
        <f t="shared" si="0"/>
        <v>0</v>
      </c>
      <c r="Y15" s="11">
        <f t="shared" si="0"/>
        <v>1228</v>
      </c>
      <c r="Z15" s="11">
        <f t="shared" si="0"/>
        <v>1493</v>
      </c>
      <c r="AA15" s="11">
        <f t="shared" si="0"/>
        <v>0</v>
      </c>
      <c r="AB15" s="11">
        <f t="shared" si="0"/>
        <v>64568</v>
      </c>
      <c r="AC15" s="11">
        <f t="shared" si="0"/>
        <v>0</v>
      </c>
      <c r="AD15" s="12">
        <f>SUM(B15:AC15)</f>
        <v>522076.00000000012</v>
      </c>
    </row>
    <row r="16" spans="1:30" s="9" customFormat="1" x14ac:dyDescent="0.25">
      <c r="A16" s="4" t="s">
        <v>51</v>
      </c>
      <c r="B16" s="12">
        <v>574487</v>
      </c>
      <c r="C16" s="12">
        <v>215980</v>
      </c>
      <c r="D16" s="12">
        <v>2720982</v>
      </c>
      <c r="E16" s="12">
        <v>136562</v>
      </c>
      <c r="F16" s="12">
        <v>602455</v>
      </c>
      <c r="G16" s="12">
        <v>322</v>
      </c>
      <c r="H16" s="12">
        <v>1180973.33</v>
      </c>
      <c r="I16" s="12">
        <v>140947</v>
      </c>
      <c r="J16" s="12">
        <v>140787</v>
      </c>
      <c r="K16" s="12">
        <v>3730281</v>
      </c>
      <c r="L16" s="12">
        <v>208681</v>
      </c>
      <c r="M16" s="12">
        <v>135554</v>
      </c>
      <c r="N16" s="12">
        <v>198808</v>
      </c>
      <c r="O16" s="12">
        <v>35082</v>
      </c>
      <c r="P16" s="12">
        <v>223293</v>
      </c>
      <c r="Q16" s="12">
        <v>1697067</v>
      </c>
      <c r="R16" s="12">
        <v>2456098</v>
      </c>
      <c r="S16" s="12">
        <v>1328532</v>
      </c>
      <c r="T16" s="12">
        <v>4518</v>
      </c>
      <c r="U16" s="12">
        <v>318850</v>
      </c>
      <c r="V16" s="12">
        <v>364731</v>
      </c>
      <c r="W16" s="12">
        <v>311847</v>
      </c>
      <c r="X16" s="12">
        <v>512654</v>
      </c>
      <c r="Y16" s="12">
        <v>203168</v>
      </c>
      <c r="Z16" s="12">
        <v>622136</v>
      </c>
      <c r="AA16" s="12">
        <v>968491</v>
      </c>
      <c r="AB16" s="12">
        <v>1443723</v>
      </c>
      <c r="AC16" s="12">
        <v>228523</v>
      </c>
      <c r="AD16" s="12">
        <f>SUM(B16:AC16)</f>
        <v>20705532.329999998</v>
      </c>
    </row>
    <row r="17" spans="1:30" x14ac:dyDescent="0.25">
      <c r="A17" s="3" t="s">
        <v>85</v>
      </c>
      <c r="B17" s="11"/>
      <c r="C17" s="11">
        <v>30862</v>
      </c>
      <c r="D17" s="11">
        <v>9699</v>
      </c>
      <c r="E17" s="11">
        <v>10036</v>
      </c>
      <c r="F17" s="11">
        <v>12789</v>
      </c>
      <c r="G17" s="11"/>
      <c r="H17" s="11">
        <v>771791.03</v>
      </c>
      <c r="I17" s="11">
        <v>33261</v>
      </c>
      <c r="J17" s="11">
        <v>3346</v>
      </c>
      <c r="K17" s="11">
        <v>101087</v>
      </c>
      <c r="L17" s="11">
        <v>12014</v>
      </c>
      <c r="M17" s="11">
        <v>724</v>
      </c>
      <c r="N17" s="11">
        <v>44844</v>
      </c>
      <c r="O17" s="11">
        <v>26965</v>
      </c>
      <c r="P17" s="11">
        <v>10670</v>
      </c>
      <c r="Q17" s="11">
        <v>124788</v>
      </c>
      <c r="R17" s="11">
        <v>151954</v>
      </c>
      <c r="S17" s="11">
        <v>1758207</v>
      </c>
      <c r="T17" s="11"/>
      <c r="U17" s="11">
        <v>20329</v>
      </c>
      <c r="V17" s="11">
        <v>22707</v>
      </c>
      <c r="W17" s="11">
        <v>15022</v>
      </c>
      <c r="X17" s="11">
        <v>18224</v>
      </c>
      <c r="Y17" s="11">
        <v>1778</v>
      </c>
      <c r="Z17" s="11">
        <v>31991</v>
      </c>
      <c r="AA17" s="11">
        <v>12321</v>
      </c>
      <c r="AB17" s="11"/>
      <c r="AC17" s="11">
        <v>24614</v>
      </c>
      <c r="AD17" s="12">
        <f>SUM(B17:AC17)</f>
        <v>3250023.0300000003</v>
      </c>
    </row>
    <row r="18" spans="1:30" ht="30" x14ac:dyDescent="0.25">
      <c r="A18" s="3" t="s">
        <v>86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>
        <f>SUM(B18:AC18)</f>
        <v>0</v>
      </c>
    </row>
    <row r="19" spans="1:30" s="9" customFormat="1" x14ac:dyDescent="0.25">
      <c r="A19" s="4" t="s">
        <v>87</v>
      </c>
      <c r="B19" s="12">
        <f t="shared" ref="B19:AC19" si="1">B16+B17+B18</f>
        <v>574487</v>
      </c>
      <c r="C19" s="12">
        <f t="shared" si="1"/>
        <v>246842</v>
      </c>
      <c r="D19" s="12">
        <f t="shared" si="1"/>
        <v>2730681</v>
      </c>
      <c r="E19" s="12">
        <f t="shared" si="1"/>
        <v>146598</v>
      </c>
      <c r="F19" s="12">
        <f t="shared" si="1"/>
        <v>615244</v>
      </c>
      <c r="G19" s="12">
        <f t="shared" si="1"/>
        <v>322</v>
      </c>
      <c r="H19" s="12">
        <f t="shared" si="1"/>
        <v>1952764.36</v>
      </c>
      <c r="I19" s="12">
        <f t="shared" si="1"/>
        <v>174208</v>
      </c>
      <c r="J19" s="12">
        <f t="shared" si="1"/>
        <v>144133</v>
      </c>
      <c r="K19" s="12">
        <f t="shared" si="1"/>
        <v>3831368</v>
      </c>
      <c r="L19" s="12">
        <f t="shared" si="1"/>
        <v>220695</v>
      </c>
      <c r="M19" s="12">
        <f t="shared" si="1"/>
        <v>136278</v>
      </c>
      <c r="N19" s="12">
        <f t="shared" si="1"/>
        <v>243652</v>
      </c>
      <c r="O19" s="12">
        <f t="shared" si="1"/>
        <v>62047</v>
      </c>
      <c r="P19" s="12">
        <f t="shared" si="1"/>
        <v>233963</v>
      </c>
      <c r="Q19" s="12">
        <f t="shared" si="1"/>
        <v>1821855</v>
      </c>
      <c r="R19" s="12">
        <f t="shared" si="1"/>
        <v>2608052</v>
      </c>
      <c r="S19" s="12">
        <f t="shared" si="1"/>
        <v>3086739</v>
      </c>
      <c r="T19" s="12">
        <f t="shared" si="1"/>
        <v>4518</v>
      </c>
      <c r="U19" s="12">
        <f t="shared" si="1"/>
        <v>339179</v>
      </c>
      <c r="V19" s="12">
        <f t="shared" si="1"/>
        <v>387438</v>
      </c>
      <c r="W19" s="12">
        <f t="shared" si="1"/>
        <v>326869</v>
      </c>
      <c r="X19" s="12">
        <f t="shared" si="1"/>
        <v>530878</v>
      </c>
      <c r="Y19" s="12">
        <f t="shared" si="1"/>
        <v>204946</v>
      </c>
      <c r="Z19" s="12">
        <f t="shared" si="1"/>
        <v>654127</v>
      </c>
      <c r="AA19" s="12">
        <f t="shared" si="1"/>
        <v>980812</v>
      </c>
      <c r="AB19" s="12">
        <f t="shared" si="1"/>
        <v>1443723</v>
      </c>
      <c r="AC19" s="12">
        <f t="shared" si="1"/>
        <v>253137</v>
      </c>
      <c r="AD19" s="12">
        <f>SUM(B19:AC19)</f>
        <v>23955555.359999999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" sqref="C1"/>
    </sheetView>
  </sheetViews>
  <sheetFormatPr defaultRowHeight="15" x14ac:dyDescent="0.25"/>
  <cols>
    <col min="1" max="1" width="40.140625" style="78" customWidth="1"/>
    <col min="2" max="29" width="16" style="78" customWidth="1"/>
    <col min="30" max="30" width="16" style="77" customWidth="1"/>
    <col min="31" max="16384" width="9.140625" style="78"/>
  </cols>
  <sheetData>
    <row r="1" spans="1:30" ht="18.75" x14ac:dyDescent="0.25">
      <c r="A1" s="115" t="s">
        <v>283</v>
      </c>
    </row>
    <row r="2" spans="1:30" ht="15" customHeight="1" x14ac:dyDescent="0.25">
      <c r="A2" s="72" t="s">
        <v>43</v>
      </c>
    </row>
    <row r="3" spans="1:30" s="113" customFormat="1" ht="15" customHeight="1" x14ac:dyDescent="0.25">
      <c r="A3" s="110" t="s">
        <v>0</v>
      </c>
      <c r="B3" s="93" t="s">
        <v>1</v>
      </c>
      <c r="C3" s="93" t="s">
        <v>2</v>
      </c>
      <c r="D3" s="93" t="s">
        <v>3</v>
      </c>
      <c r="E3" s="93" t="s">
        <v>4</v>
      </c>
      <c r="F3" s="93" t="s">
        <v>5</v>
      </c>
      <c r="G3" s="93" t="s">
        <v>6</v>
      </c>
      <c r="H3" s="93" t="s">
        <v>7</v>
      </c>
      <c r="I3" s="93" t="s">
        <v>8</v>
      </c>
      <c r="J3" s="93" t="s">
        <v>10</v>
      </c>
      <c r="K3" s="93" t="s">
        <v>11</v>
      </c>
      <c r="L3" s="93" t="s">
        <v>12</v>
      </c>
      <c r="M3" s="93" t="s">
        <v>13</v>
      </c>
      <c r="N3" s="93" t="s">
        <v>14</v>
      </c>
      <c r="O3" s="93" t="s">
        <v>15</v>
      </c>
      <c r="P3" s="93" t="s">
        <v>16</v>
      </c>
      <c r="Q3" s="93" t="s">
        <v>17</v>
      </c>
      <c r="R3" s="93" t="s">
        <v>18</v>
      </c>
      <c r="S3" s="93" t="s">
        <v>19</v>
      </c>
      <c r="T3" s="93" t="s">
        <v>20</v>
      </c>
      <c r="U3" s="93" t="s">
        <v>21</v>
      </c>
      <c r="V3" s="93" t="s">
        <v>22</v>
      </c>
      <c r="W3" s="93" t="s">
        <v>23</v>
      </c>
      <c r="X3" s="93" t="s">
        <v>24</v>
      </c>
      <c r="Y3" s="93" t="s">
        <v>25</v>
      </c>
      <c r="Z3" s="93" t="s">
        <v>26</v>
      </c>
      <c r="AA3" s="93" t="s">
        <v>27</v>
      </c>
      <c r="AB3" s="93" t="s">
        <v>28</v>
      </c>
      <c r="AC3" s="93" t="s">
        <v>29</v>
      </c>
      <c r="AD3" s="93" t="s">
        <v>30</v>
      </c>
    </row>
    <row r="4" spans="1:30" ht="15" customHeight="1" x14ac:dyDescent="0.25">
      <c r="A4" s="26" t="s">
        <v>88</v>
      </c>
      <c r="B4" s="88">
        <v>16164</v>
      </c>
      <c r="C4" s="88">
        <v>18865</v>
      </c>
      <c r="D4" s="88">
        <v>75642</v>
      </c>
      <c r="E4" s="88">
        <v>87501</v>
      </c>
      <c r="F4" s="88">
        <v>95445</v>
      </c>
      <c r="G4" s="88">
        <v>31091</v>
      </c>
      <c r="H4" s="88">
        <v>14562.46</v>
      </c>
      <c r="I4" s="88">
        <v>140091</v>
      </c>
      <c r="J4" s="88">
        <v>57</v>
      </c>
      <c r="K4" s="88">
        <v>236282</v>
      </c>
      <c r="L4" s="88">
        <v>13276</v>
      </c>
      <c r="M4" s="88">
        <v>143</v>
      </c>
      <c r="N4" s="88">
        <v>55030</v>
      </c>
      <c r="O4" s="88">
        <v>4132</v>
      </c>
      <c r="P4" s="88">
        <v>21602</v>
      </c>
      <c r="Q4" s="89">
        <v>587263</v>
      </c>
      <c r="R4" s="88">
        <v>2033599</v>
      </c>
      <c r="S4" s="88">
        <v>1259344</v>
      </c>
      <c r="T4" s="88">
        <v>26</v>
      </c>
      <c r="U4" s="88">
        <v>59971</v>
      </c>
      <c r="V4" s="88">
        <v>39906</v>
      </c>
      <c r="W4" s="88">
        <v>57283</v>
      </c>
      <c r="X4" s="88">
        <v>146338</v>
      </c>
      <c r="Y4" s="88">
        <v>56665</v>
      </c>
      <c r="Z4" s="88">
        <v>501852</v>
      </c>
      <c r="AA4" s="88">
        <v>347714</v>
      </c>
      <c r="AB4" s="88">
        <v>2108263</v>
      </c>
      <c r="AC4" s="88">
        <v>2899</v>
      </c>
      <c r="AD4" s="90">
        <f t="shared" ref="AD4:AD16" si="0">SUM(B4:AC4)</f>
        <v>8011006.46</v>
      </c>
    </row>
    <row r="5" spans="1:30" ht="15" customHeight="1" x14ac:dyDescent="0.25">
      <c r="A5" s="26" t="s">
        <v>89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90">
        <f t="shared" si="0"/>
        <v>0</v>
      </c>
    </row>
    <row r="6" spans="1:30" ht="15" customHeight="1" x14ac:dyDescent="0.25">
      <c r="A6" s="26" t="s">
        <v>90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90">
        <f t="shared" si="0"/>
        <v>0</v>
      </c>
    </row>
    <row r="7" spans="1:30" ht="15" customHeight="1" x14ac:dyDescent="0.25">
      <c r="A7" s="26" t="s">
        <v>91</v>
      </c>
      <c r="B7" s="88"/>
      <c r="C7" s="88">
        <v>1106938</v>
      </c>
      <c r="D7" s="88">
        <v>1264860</v>
      </c>
      <c r="E7" s="88">
        <v>153623</v>
      </c>
      <c r="F7" s="88"/>
      <c r="G7" s="88">
        <v>155000</v>
      </c>
      <c r="H7" s="88">
        <f>4216500+1397900</f>
        <v>5614400</v>
      </c>
      <c r="I7" s="88"/>
      <c r="J7" s="88">
        <v>80000</v>
      </c>
      <c r="K7" s="88">
        <v>420242</v>
      </c>
      <c r="L7" s="88">
        <v>6919851</v>
      </c>
      <c r="M7" s="88"/>
      <c r="N7" s="88">
        <v>103100</v>
      </c>
      <c r="O7" s="88"/>
      <c r="P7" s="88">
        <v>85500</v>
      </c>
      <c r="Q7" s="89">
        <v>6583821</v>
      </c>
      <c r="R7" s="88">
        <v>8983395</v>
      </c>
      <c r="S7" s="88">
        <v>13799491</v>
      </c>
      <c r="T7" s="88"/>
      <c r="U7" s="88">
        <v>75285</v>
      </c>
      <c r="V7" s="88">
        <v>14400</v>
      </c>
      <c r="W7" s="88"/>
      <c r="X7" s="88"/>
      <c r="Y7" s="88"/>
      <c r="Z7" s="88">
        <v>878400</v>
      </c>
      <c r="AA7" s="88"/>
      <c r="AB7" s="88">
        <v>4709248</v>
      </c>
      <c r="AC7" s="88"/>
      <c r="AD7" s="90">
        <f t="shared" si="0"/>
        <v>50947554</v>
      </c>
    </row>
    <row r="8" spans="1:30" ht="15" customHeight="1" x14ac:dyDescent="0.25">
      <c r="A8" s="26" t="s">
        <v>92</v>
      </c>
      <c r="B8" s="88">
        <v>2935750</v>
      </c>
      <c r="C8" s="88">
        <v>674700</v>
      </c>
      <c r="D8" s="88">
        <v>1300000</v>
      </c>
      <c r="E8" s="88"/>
      <c r="F8" s="88"/>
      <c r="G8" s="88"/>
      <c r="H8" s="88">
        <v>41300</v>
      </c>
      <c r="I8" s="88"/>
      <c r="J8" s="88"/>
      <c r="K8" s="88"/>
      <c r="L8" s="88">
        <v>280000</v>
      </c>
      <c r="M8" s="88"/>
      <c r="N8" s="88"/>
      <c r="O8" s="88"/>
      <c r="P8" s="88"/>
      <c r="Q8" s="89">
        <v>970000</v>
      </c>
      <c r="R8" s="88">
        <v>46617367</v>
      </c>
      <c r="S8" s="88"/>
      <c r="T8" s="88"/>
      <c r="U8" s="88"/>
      <c r="V8" s="88"/>
      <c r="W8" s="88"/>
      <c r="X8" s="88"/>
      <c r="Y8" s="88"/>
      <c r="Z8" s="88">
        <v>898000</v>
      </c>
      <c r="AA8" s="88"/>
      <c r="AB8" s="88">
        <v>0</v>
      </c>
      <c r="AC8" s="88"/>
      <c r="AD8" s="90">
        <f t="shared" si="0"/>
        <v>53717117</v>
      </c>
    </row>
    <row r="9" spans="1:30" ht="15" customHeight="1" x14ac:dyDescent="0.25">
      <c r="A9" s="26" t="s">
        <v>93</v>
      </c>
      <c r="B9" s="88">
        <v>663030</v>
      </c>
      <c r="C9" s="88">
        <v>241565</v>
      </c>
      <c r="D9" s="88">
        <v>2212958</v>
      </c>
      <c r="E9" s="88">
        <v>183856</v>
      </c>
      <c r="F9" s="88">
        <v>191450</v>
      </c>
      <c r="G9" s="88">
        <v>72450</v>
      </c>
      <c r="H9" s="88">
        <v>302507.21999999997</v>
      </c>
      <c r="I9" s="88">
        <v>480419</v>
      </c>
      <c r="J9" s="88">
        <v>160644</v>
      </c>
      <c r="K9" s="88">
        <v>1291505</v>
      </c>
      <c r="L9" s="88">
        <v>926239</v>
      </c>
      <c r="M9" s="88">
        <v>3970</v>
      </c>
      <c r="N9" s="88">
        <v>153422</v>
      </c>
      <c r="O9" s="88">
        <v>94709</v>
      </c>
      <c r="P9" s="88">
        <v>25477</v>
      </c>
      <c r="Q9" s="89">
        <v>5649000</v>
      </c>
      <c r="R9" s="88">
        <v>9498133</v>
      </c>
      <c r="S9" s="88">
        <v>6031117</v>
      </c>
      <c r="T9" s="88">
        <v>15370</v>
      </c>
      <c r="U9" s="88">
        <v>472974</v>
      </c>
      <c r="V9" s="88">
        <v>182163</v>
      </c>
      <c r="W9" s="88">
        <v>524524</v>
      </c>
      <c r="X9" s="88">
        <v>427481</v>
      </c>
      <c r="Y9" s="88">
        <v>152048</v>
      </c>
      <c r="Z9" s="88">
        <v>441142</v>
      </c>
      <c r="AA9" s="88">
        <v>814887</v>
      </c>
      <c r="AB9" s="88">
        <v>4612046</v>
      </c>
      <c r="AC9" s="88">
        <v>837878</v>
      </c>
      <c r="AD9" s="90">
        <f t="shared" si="0"/>
        <v>36662964.219999999</v>
      </c>
    </row>
    <row r="10" spans="1:30" ht="15" customHeight="1" x14ac:dyDescent="0.25">
      <c r="A10" s="26" t="s">
        <v>94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>
        <v>16521</v>
      </c>
      <c r="P10" s="88"/>
      <c r="Q10" s="88"/>
      <c r="R10" s="88"/>
      <c r="S10" s="88"/>
      <c r="T10" s="88"/>
      <c r="U10" s="88">
        <v>404785</v>
      </c>
      <c r="V10" s="88"/>
      <c r="W10" s="88"/>
      <c r="X10" s="88"/>
      <c r="Y10" s="88"/>
      <c r="Z10" s="88"/>
      <c r="AA10" s="88"/>
      <c r="AB10" s="88"/>
      <c r="AC10" s="88"/>
      <c r="AD10" s="90">
        <f t="shared" si="0"/>
        <v>421306</v>
      </c>
    </row>
    <row r="11" spans="1:30" ht="15" customHeight="1" x14ac:dyDescent="0.25">
      <c r="A11" s="26" t="s">
        <v>95</v>
      </c>
      <c r="B11" s="88"/>
      <c r="C11" s="88"/>
      <c r="D11" s="88"/>
      <c r="E11" s="88"/>
      <c r="F11" s="88">
        <v>2801</v>
      </c>
      <c r="G11" s="88"/>
      <c r="H11" s="88">
        <v>100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0">
        <f t="shared" si="0"/>
        <v>2901</v>
      </c>
    </row>
    <row r="12" spans="1:30" ht="15" customHeight="1" x14ac:dyDescent="0.25">
      <c r="A12" s="26" t="s">
        <v>96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90">
        <f t="shared" si="0"/>
        <v>0</v>
      </c>
    </row>
    <row r="13" spans="1:30" ht="15" customHeight="1" x14ac:dyDescent="0.25">
      <c r="A13" s="26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>
        <v>610449</v>
      </c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90">
        <f t="shared" si="0"/>
        <v>610449</v>
      </c>
    </row>
    <row r="14" spans="1:30" ht="15" customHeight="1" x14ac:dyDescent="0.25">
      <c r="A14" s="26" t="s">
        <v>98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3084498</v>
      </c>
      <c r="S14" s="88"/>
      <c r="T14" s="88"/>
      <c r="U14" s="88"/>
      <c r="V14" s="88"/>
      <c r="W14" s="88"/>
      <c r="X14" s="88"/>
      <c r="Y14" s="88"/>
      <c r="Z14" s="88"/>
      <c r="AA14" s="88"/>
      <c r="AB14" s="88">
        <v>499567</v>
      </c>
      <c r="AC14" s="88"/>
      <c r="AD14" s="90">
        <f t="shared" si="0"/>
        <v>3584065</v>
      </c>
    </row>
    <row r="15" spans="1:30" ht="15" customHeight="1" x14ac:dyDescent="0.25">
      <c r="A15" s="26" t="s">
        <v>41</v>
      </c>
      <c r="B15" s="88">
        <f t="shared" ref="B15:AC15" si="1">B16-B14-B13-B12-B11-B10-B9-B8-B7-B6-B5-B4</f>
        <v>0</v>
      </c>
      <c r="C15" s="88">
        <f t="shared" si="1"/>
        <v>0</v>
      </c>
      <c r="D15" s="88">
        <f t="shared" si="1"/>
        <v>461832</v>
      </c>
      <c r="E15" s="88">
        <f t="shared" si="1"/>
        <v>0</v>
      </c>
      <c r="F15" s="88">
        <f t="shared" si="1"/>
        <v>0</v>
      </c>
      <c r="G15" s="88">
        <f t="shared" si="1"/>
        <v>0</v>
      </c>
      <c r="H15" s="88">
        <f t="shared" si="1"/>
        <v>-3.637978807091713E-11</v>
      </c>
      <c r="I15" s="88">
        <f t="shared" si="1"/>
        <v>0</v>
      </c>
      <c r="J15" s="88">
        <f t="shared" si="1"/>
        <v>0</v>
      </c>
      <c r="K15" s="88">
        <f t="shared" si="1"/>
        <v>0</v>
      </c>
      <c r="L15" s="88">
        <f t="shared" si="1"/>
        <v>0</v>
      </c>
      <c r="M15" s="88">
        <f t="shared" si="1"/>
        <v>0</v>
      </c>
      <c r="N15" s="88">
        <f t="shared" si="1"/>
        <v>0</v>
      </c>
      <c r="O15" s="88">
        <f t="shared" si="1"/>
        <v>0</v>
      </c>
      <c r="P15" s="88">
        <f t="shared" si="1"/>
        <v>0</v>
      </c>
      <c r="Q15" s="88">
        <f t="shared" si="1"/>
        <v>15605</v>
      </c>
      <c r="R15" s="88">
        <f t="shared" si="1"/>
        <v>0</v>
      </c>
      <c r="S15" s="88">
        <f t="shared" si="1"/>
        <v>0</v>
      </c>
      <c r="T15" s="88">
        <f t="shared" si="1"/>
        <v>0</v>
      </c>
      <c r="U15" s="88">
        <f t="shared" si="1"/>
        <v>0</v>
      </c>
      <c r="V15" s="88">
        <f t="shared" si="1"/>
        <v>0</v>
      </c>
      <c r="W15" s="88">
        <f t="shared" si="1"/>
        <v>0</v>
      </c>
      <c r="X15" s="88">
        <f>X16-X14-X13-X12-X11-X10-X9-X8-X7-X6-X5-X4</f>
        <v>0</v>
      </c>
      <c r="Y15" s="88">
        <f>Y16-Y14-Y13-Y12-Y11-Y10-Y9-Y8-Y7-Y6-Y5-Y4</f>
        <v>0</v>
      </c>
      <c r="Z15" s="88">
        <f t="shared" si="1"/>
        <v>0</v>
      </c>
      <c r="AA15" s="88">
        <f t="shared" si="1"/>
        <v>0</v>
      </c>
      <c r="AB15" s="88">
        <f t="shared" si="1"/>
        <v>8785</v>
      </c>
      <c r="AC15" s="88">
        <f t="shared" si="1"/>
        <v>0</v>
      </c>
      <c r="AD15" s="90">
        <f t="shared" si="0"/>
        <v>486221.99999999994</v>
      </c>
    </row>
    <row r="16" spans="1:30" s="71" customFormat="1" ht="15" customHeight="1" x14ac:dyDescent="0.25">
      <c r="A16" s="4" t="s">
        <v>51</v>
      </c>
      <c r="B16" s="90">
        <v>3614944</v>
      </c>
      <c r="C16" s="90">
        <v>2042068</v>
      </c>
      <c r="D16" s="90">
        <v>5315292</v>
      </c>
      <c r="E16" s="90">
        <v>424980</v>
      </c>
      <c r="F16" s="90">
        <v>289696</v>
      </c>
      <c r="G16" s="90">
        <v>258541</v>
      </c>
      <c r="H16" s="90">
        <v>5972869.6799999997</v>
      </c>
      <c r="I16" s="90">
        <v>620510</v>
      </c>
      <c r="J16" s="90">
        <v>240701</v>
      </c>
      <c r="K16" s="90">
        <v>1948029</v>
      </c>
      <c r="L16" s="90">
        <v>8139366</v>
      </c>
      <c r="M16" s="90">
        <v>4113</v>
      </c>
      <c r="N16" s="90">
        <v>311552</v>
      </c>
      <c r="O16" s="90">
        <v>115362</v>
      </c>
      <c r="P16" s="90">
        <v>132579</v>
      </c>
      <c r="Q16" s="90">
        <v>13805689</v>
      </c>
      <c r="R16" s="90">
        <v>70827441</v>
      </c>
      <c r="S16" s="90">
        <v>21089952</v>
      </c>
      <c r="T16" s="90">
        <v>15396</v>
      </c>
      <c r="U16" s="90">
        <v>1013015</v>
      </c>
      <c r="V16" s="90">
        <v>236469</v>
      </c>
      <c r="W16" s="90">
        <v>581807</v>
      </c>
      <c r="X16" s="90">
        <v>573819</v>
      </c>
      <c r="Y16" s="90">
        <v>208713</v>
      </c>
      <c r="Z16" s="90">
        <v>2719394</v>
      </c>
      <c r="AA16" s="90">
        <v>1162601</v>
      </c>
      <c r="AB16" s="90">
        <v>11937909</v>
      </c>
      <c r="AC16" s="90">
        <v>840777</v>
      </c>
      <c r="AD16" s="90">
        <f t="shared" si="0"/>
        <v>154443584.68000001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3.140625" style="28" customWidth="1"/>
    <col min="2" max="29" width="16" style="28" customWidth="1"/>
    <col min="30" max="30" width="16" style="9" customWidth="1"/>
    <col min="31" max="16384" width="9.140625" style="28"/>
  </cols>
  <sheetData>
    <row r="1" spans="1:30" ht="18.75" x14ac:dyDescent="0.25">
      <c r="A1" s="115" t="s">
        <v>282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1"/>
    </row>
    <row r="2" spans="1:30" x14ac:dyDescent="0.25">
      <c r="A2" s="72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1"/>
    </row>
    <row r="3" spans="1:30" s="109" customFormat="1" x14ac:dyDescent="0.25">
      <c r="A3" s="11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10</v>
      </c>
      <c r="K3" s="73" t="s">
        <v>11</v>
      </c>
      <c r="L3" s="73" t="s">
        <v>12</v>
      </c>
      <c r="M3" s="73" t="s">
        <v>13</v>
      </c>
      <c r="N3" s="73" t="s">
        <v>14</v>
      </c>
      <c r="O3" s="73" t="s">
        <v>15</v>
      </c>
      <c r="P3" s="73" t="s">
        <v>16</v>
      </c>
      <c r="Q3" s="73" t="s">
        <v>17</v>
      </c>
      <c r="R3" s="73" t="s">
        <v>18</v>
      </c>
      <c r="S3" s="73" t="s">
        <v>19</v>
      </c>
      <c r="T3" s="73" t="s">
        <v>20</v>
      </c>
      <c r="U3" s="73" t="s">
        <v>21</v>
      </c>
      <c r="V3" s="73" t="s">
        <v>22</v>
      </c>
      <c r="W3" s="73" t="s">
        <v>23</v>
      </c>
      <c r="X3" s="73" t="s">
        <v>24</v>
      </c>
      <c r="Y3" s="73" t="s">
        <v>25</v>
      </c>
      <c r="Z3" s="73" t="s">
        <v>26</v>
      </c>
      <c r="AA3" s="73" t="s">
        <v>27</v>
      </c>
      <c r="AB3" s="73" t="s">
        <v>28</v>
      </c>
      <c r="AC3" s="73" t="s">
        <v>29</v>
      </c>
      <c r="AD3" s="73" t="s">
        <v>30</v>
      </c>
    </row>
    <row r="4" spans="1:30" x14ac:dyDescent="0.25">
      <c r="A4" s="79" t="s">
        <v>99</v>
      </c>
      <c r="B4" s="80"/>
      <c r="C4" s="80">
        <v>102106</v>
      </c>
      <c r="D4" s="80">
        <v>178094</v>
      </c>
      <c r="E4" s="80">
        <v>28929</v>
      </c>
      <c r="F4" s="80">
        <v>64631</v>
      </c>
      <c r="G4" s="80">
        <v>22256</v>
      </c>
      <c r="H4" s="80"/>
      <c r="I4" s="80">
        <v>47479</v>
      </c>
      <c r="J4" s="80">
        <v>25154</v>
      </c>
      <c r="K4" s="80">
        <v>76714</v>
      </c>
      <c r="L4" s="80">
        <v>119143</v>
      </c>
      <c r="M4" s="80">
        <v>1314</v>
      </c>
      <c r="N4" s="80">
        <v>30921</v>
      </c>
      <c r="O4" s="80">
        <v>7595</v>
      </c>
      <c r="P4" s="80">
        <v>45757</v>
      </c>
      <c r="Q4" s="81">
        <v>768985</v>
      </c>
      <c r="R4" s="80">
        <v>168203</v>
      </c>
      <c r="S4" s="80">
        <v>506143</v>
      </c>
      <c r="T4" s="80">
        <v>7391</v>
      </c>
      <c r="U4" s="80">
        <v>64618</v>
      </c>
      <c r="V4" s="80">
        <v>55671</v>
      </c>
      <c r="W4" s="80">
        <v>77137</v>
      </c>
      <c r="X4" s="80">
        <v>101752</v>
      </c>
      <c r="Y4" s="80">
        <v>42274</v>
      </c>
      <c r="Z4" s="80">
        <v>191410</v>
      </c>
      <c r="AA4" s="80">
        <v>140578</v>
      </c>
      <c r="AB4" s="80">
        <v>1271094</v>
      </c>
      <c r="AC4" s="80">
        <v>37567</v>
      </c>
      <c r="AD4" s="74">
        <f t="shared" ref="AD4:AD15" si="0">SUM(B4:AC4)</f>
        <v>4182916</v>
      </c>
    </row>
    <row r="5" spans="1:30" ht="15" customHeight="1" x14ac:dyDescent="0.25">
      <c r="A5" s="79" t="s">
        <v>100</v>
      </c>
      <c r="B5" s="80">
        <v>587938</v>
      </c>
      <c r="C5" s="80">
        <v>305871</v>
      </c>
      <c r="D5" s="80">
        <v>6127642</v>
      </c>
      <c r="E5" s="80">
        <v>540454</v>
      </c>
      <c r="F5" s="80">
        <v>319870</v>
      </c>
      <c r="G5" s="80">
        <v>95419</v>
      </c>
      <c r="H5" s="80">
        <v>955141.74</v>
      </c>
      <c r="I5" s="80">
        <v>1610606</v>
      </c>
      <c r="J5" s="80">
        <v>154444</v>
      </c>
      <c r="K5" s="80">
        <v>2203311</v>
      </c>
      <c r="L5" s="80">
        <v>678598</v>
      </c>
      <c r="M5" s="80">
        <v>2124</v>
      </c>
      <c r="N5" s="80">
        <v>108984</v>
      </c>
      <c r="O5" s="80">
        <v>268939</v>
      </c>
      <c r="P5" s="80">
        <v>81837</v>
      </c>
      <c r="Q5" s="81">
        <v>14817650</v>
      </c>
      <c r="R5" s="80">
        <v>23823437</v>
      </c>
      <c r="S5" s="80">
        <v>73403</v>
      </c>
      <c r="T5" s="80">
        <v>30325</v>
      </c>
      <c r="U5" s="80">
        <v>3530489</v>
      </c>
      <c r="V5" s="80">
        <v>212857</v>
      </c>
      <c r="W5" s="80">
        <v>106173</v>
      </c>
      <c r="X5" s="80">
        <v>265289</v>
      </c>
      <c r="Y5" s="80">
        <v>89713</v>
      </c>
      <c r="Z5" s="80">
        <v>1729</v>
      </c>
      <c r="AA5" s="80">
        <v>1944011</v>
      </c>
      <c r="AB5" s="80">
        <v>5651897</v>
      </c>
      <c r="AC5" s="80">
        <v>880580</v>
      </c>
      <c r="AD5" s="74">
        <f t="shared" si="0"/>
        <v>65468731.740000002</v>
      </c>
    </row>
    <row r="6" spans="1:30" ht="15" customHeight="1" x14ac:dyDescent="0.25">
      <c r="A6" s="79" t="s">
        <v>101</v>
      </c>
      <c r="B6" s="80"/>
      <c r="C6" s="80"/>
      <c r="D6" s="80"/>
      <c r="E6" s="80"/>
      <c r="F6" s="80"/>
      <c r="G6" s="80"/>
      <c r="H6" s="80"/>
      <c r="I6" s="80"/>
      <c r="J6" s="80"/>
      <c r="K6" s="80">
        <v>2229952</v>
      </c>
      <c r="L6" s="80"/>
      <c r="M6" s="80"/>
      <c r="N6" s="80"/>
      <c r="O6" s="80"/>
      <c r="P6" s="80"/>
      <c r="Q6" s="80"/>
      <c r="R6" s="80">
        <v>174932</v>
      </c>
      <c r="S6" s="80"/>
      <c r="T6" s="80"/>
      <c r="U6" s="80"/>
      <c r="V6" s="80"/>
      <c r="W6" s="80"/>
      <c r="X6" s="80"/>
      <c r="Y6" s="80"/>
      <c r="Z6" s="80"/>
      <c r="AA6" s="80"/>
      <c r="AB6" s="80">
        <v>34307</v>
      </c>
      <c r="AC6" s="80"/>
      <c r="AD6" s="74">
        <f t="shared" si="0"/>
        <v>2439191</v>
      </c>
    </row>
    <row r="7" spans="1:30" ht="15" customHeight="1" x14ac:dyDescent="0.25">
      <c r="A7" s="79" t="s">
        <v>102</v>
      </c>
      <c r="B7" s="80"/>
      <c r="C7" s="80">
        <v>73274</v>
      </c>
      <c r="D7" s="80">
        <v>2962870</v>
      </c>
      <c r="E7" s="80">
        <v>42829</v>
      </c>
      <c r="F7" s="80">
        <v>652204</v>
      </c>
      <c r="G7" s="80">
        <v>5236</v>
      </c>
      <c r="H7" s="80">
        <v>575434.06999999995</v>
      </c>
      <c r="I7" s="80">
        <v>97761</v>
      </c>
      <c r="J7" s="80">
        <v>17165</v>
      </c>
      <c r="K7" s="80">
        <v>709536</v>
      </c>
      <c r="L7" s="80">
        <v>396688</v>
      </c>
      <c r="M7" s="80">
        <v>558</v>
      </c>
      <c r="N7" s="80">
        <v>15095</v>
      </c>
      <c r="O7" s="80">
        <v>79130</v>
      </c>
      <c r="P7" s="80">
        <v>34088</v>
      </c>
      <c r="Q7" s="81">
        <v>1110684</v>
      </c>
      <c r="R7" s="80">
        <v>1428840</v>
      </c>
      <c r="S7" s="80">
        <v>778221</v>
      </c>
      <c r="T7" s="80">
        <v>2681</v>
      </c>
      <c r="U7" s="80">
        <v>106256</v>
      </c>
      <c r="V7" s="80">
        <v>128557</v>
      </c>
      <c r="W7" s="80">
        <v>161421</v>
      </c>
      <c r="X7" s="80">
        <v>61956</v>
      </c>
      <c r="Y7" s="80">
        <v>211661</v>
      </c>
      <c r="Z7" s="80">
        <v>86517</v>
      </c>
      <c r="AA7" s="80">
        <v>1907483</v>
      </c>
      <c r="AB7" s="80">
        <v>974899</v>
      </c>
      <c r="AC7" s="80">
        <v>131862</v>
      </c>
      <c r="AD7" s="74">
        <f t="shared" si="0"/>
        <v>12752906.07</v>
      </c>
    </row>
    <row r="8" spans="1:30" ht="15" customHeight="1" x14ac:dyDescent="0.25">
      <c r="A8" s="79" t="s">
        <v>103</v>
      </c>
      <c r="B8" s="80"/>
      <c r="C8" s="80">
        <v>233155</v>
      </c>
      <c r="D8" s="80">
        <v>1593393</v>
      </c>
      <c r="E8" s="80">
        <v>312435</v>
      </c>
      <c r="F8" s="80">
        <v>447458</v>
      </c>
      <c r="G8" s="80">
        <v>53334</v>
      </c>
      <c r="H8" s="80">
        <v>1899563.86</v>
      </c>
      <c r="I8" s="80">
        <v>620041</v>
      </c>
      <c r="J8" s="80">
        <v>72177</v>
      </c>
      <c r="K8" s="80">
        <v>2914249</v>
      </c>
      <c r="L8" s="80"/>
      <c r="M8" s="80"/>
      <c r="N8" s="80">
        <v>112485</v>
      </c>
      <c r="O8" s="80"/>
      <c r="P8" s="80">
        <v>68771</v>
      </c>
      <c r="Q8" s="91">
        <v>4158317</v>
      </c>
      <c r="R8" s="80"/>
      <c r="S8" s="80">
        <v>0</v>
      </c>
      <c r="T8" s="80">
        <v>5322</v>
      </c>
      <c r="U8" s="80">
        <v>817153</v>
      </c>
      <c r="V8" s="80">
        <v>163406</v>
      </c>
      <c r="W8" s="80">
        <v>430813</v>
      </c>
      <c r="X8" s="80">
        <v>799696</v>
      </c>
      <c r="Y8" s="80">
        <v>10871</v>
      </c>
      <c r="Z8" s="80">
        <v>140365</v>
      </c>
      <c r="AA8" s="80">
        <v>762769</v>
      </c>
      <c r="AB8" s="80"/>
      <c r="AC8" s="80">
        <v>136634</v>
      </c>
      <c r="AD8" s="74">
        <f t="shared" si="0"/>
        <v>15752407.859999999</v>
      </c>
    </row>
    <row r="9" spans="1:30" ht="15" customHeight="1" x14ac:dyDescent="0.25">
      <c r="A9" s="79" t="s">
        <v>104</v>
      </c>
      <c r="B9" s="80">
        <v>562956</v>
      </c>
      <c r="C9" s="80">
        <v>97767</v>
      </c>
      <c r="D9" s="80">
        <v>1981642</v>
      </c>
      <c r="E9" s="80">
        <v>425547</v>
      </c>
      <c r="F9" s="80">
        <v>390729</v>
      </c>
      <c r="G9" s="80">
        <v>134739</v>
      </c>
      <c r="H9" s="80">
        <v>204239.26</v>
      </c>
      <c r="I9" s="80">
        <v>883067</v>
      </c>
      <c r="J9" s="80">
        <v>385258</v>
      </c>
      <c r="K9" s="80">
        <v>2493465</v>
      </c>
      <c r="L9" s="80">
        <v>658027</v>
      </c>
      <c r="M9" s="80">
        <v>50424</v>
      </c>
      <c r="N9" s="80">
        <v>214396</v>
      </c>
      <c r="O9" s="80">
        <v>3009</v>
      </c>
      <c r="P9" s="80">
        <v>842190</v>
      </c>
      <c r="Q9" s="81">
        <v>23053068</v>
      </c>
      <c r="R9" s="80">
        <v>21616074</v>
      </c>
      <c r="S9" s="80">
        <v>17501357</v>
      </c>
      <c r="T9" s="80">
        <v>31095</v>
      </c>
      <c r="U9" s="80">
        <v>1824492</v>
      </c>
      <c r="V9" s="80">
        <v>721566</v>
      </c>
      <c r="W9" s="80">
        <v>728869</v>
      </c>
      <c r="X9" s="80">
        <v>778983</v>
      </c>
      <c r="Y9" s="80">
        <v>35276</v>
      </c>
      <c r="Z9" s="80">
        <v>664730</v>
      </c>
      <c r="AA9" s="80">
        <v>815248</v>
      </c>
      <c r="AB9" s="80">
        <v>14969969</v>
      </c>
      <c r="AC9" s="80">
        <v>275334</v>
      </c>
      <c r="AD9" s="74">
        <f t="shared" si="0"/>
        <v>92343516.25999999</v>
      </c>
    </row>
    <row r="10" spans="1:30" ht="15" customHeight="1" x14ac:dyDescent="0.25">
      <c r="A10" s="79" t="s">
        <v>105</v>
      </c>
      <c r="B10" s="80"/>
      <c r="C10" s="80"/>
      <c r="D10" s="80"/>
      <c r="E10" s="80"/>
      <c r="F10" s="80"/>
      <c r="G10" s="80"/>
      <c r="H10" s="80"/>
      <c r="I10" s="80"/>
      <c r="J10" s="80">
        <v>11172</v>
      </c>
      <c r="K10" s="80">
        <v>53065</v>
      </c>
      <c r="L10" s="80">
        <v>49249</v>
      </c>
      <c r="M10" s="80">
        <v>3651</v>
      </c>
      <c r="N10" s="80"/>
      <c r="O10" s="80"/>
      <c r="P10" s="80"/>
      <c r="Q10" s="80"/>
      <c r="R10" s="80"/>
      <c r="S10" s="80">
        <v>0</v>
      </c>
      <c r="T10" s="80"/>
      <c r="U10" s="80"/>
      <c r="V10" s="80">
        <v>19749</v>
      </c>
      <c r="W10" s="80">
        <v>5947</v>
      </c>
      <c r="X10" s="80">
        <v>121452</v>
      </c>
      <c r="Y10" s="80"/>
      <c r="Z10" s="80"/>
      <c r="AA10" s="80"/>
      <c r="AB10" s="80"/>
      <c r="AC10" s="80"/>
      <c r="AD10" s="74">
        <f t="shared" si="0"/>
        <v>264285</v>
      </c>
    </row>
    <row r="11" spans="1:30" ht="15" customHeight="1" x14ac:dyDescent="0.25">
      <c r="A11" s="79" t="s">
        <v>106</v>
      </c>
      <c r="B11" s="80">
        <v>26448242</v>
      </c>
      <c r="C11" s="80">
        <v>911483</v>
      </c>
      <c r="D11" s="80">
        <v>36519742</v>
      </c>
      <c r="E11" s="80">
        <v>13356684</v>
      </c>
      <c r="F11" s="80">
        <v>20822877</v>
      </c>
      <c r="G11" s="80">
        <v>241350</v>
      </c>
      <c r="H11" s="80">
        <v>43844606.039999999</v>
      </c>
      <c r="I11" s="80">
        <v>10796078</v>
      </c>
      <c r="J11" s="80">
        <v>2853622</v>
      </c>
      <c r="K11" s="80">
        <v>75407234</v>
      </c>
      <c r="L11" s="80">
        <v>25060923</v>
      </c>
      <c r="M11" s="80">
        <v>2001</v>
      </c>
      <c r="N11" s="80">
        <v>1594181</v>
      </c>
      <c r="O11" s="80">
        <v>4765771</v>
      </c>
      <c r="P11" s="80">
        <v>495649</v>
      </c>
      <c r="Q11" s="81">
        <v>93369373</v>
      </c>
      <c r="R11" s="80">
        <v>163260588</v>
      </c>
      <c r="S11" s="80">
        <v>74477988</v>
      </c>
      <c r="T11" s="80">
        <v>154632</v>
      </c>
      <c r="U11" s="80">
        <v>34765475</v>
      </c>
      <c r="V11" s="80">
        <v>519323</v>
      </c>
      <c r="W11" s="80">
        <v>14477622</v>
      </c>
      <c r="X11" s="80">
        <v>11649231</v>
      </c>
      <c r="Y11" s="80">
        <v>44693888</v>
      </c>
      <c r="Z11" s="80">
        <v>1287605</v>
      </c>
      <c r="AA11" s="80">
        <v>15716521</v>
      </c>
      <c r="AB11" s="80">
        <v>96196708</v>
      </c>
      <c r="AC11" s="80">
        <v>6871507</v>
      </c>
      <c r="AD11" s="74">
        <f t="shared" si="0"/>
        <v>820560904.03999996</v>
      </c>
    </row>
    <row r="12" spans="1:30" ht="15" customHeight="1" x14ac:dyDescent="0.25">
      <c r="A12" s="79" t="s">
        <v>107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>
        <v>25992</v>
      </c>
      <c r="Q12" s="80"/>
      <c r="R12" s="80"/>
      <c r="S12" s="80"/>
      <c r="T12" s="80"/>
      <c r="U12" s="80"/>
      <c r="V12" s="80"/>
      <c r="W12" s="80">
        <v>6357</v>
      </c>
      <c r="X12" s="80"/>
      <c r="Y12" s="80"/>
      <c r="Z12" s="80"/>
      <c r="AA12" s="80">
        <v>1800</v>
      </c>
      <c r="AB12" s="80"/>
      <c r="AC12" s="80"/>
      <c r="AD12" s="74">
        <f t="shared" si="0"/>
        <v>34149</v>
      </c>
    </row>
    <row r="13" spans="1:30" ht="15" customHeight="1" x14ac:dyDescent="0.25">
      <c r="A13" s="79" t="s">
        <v>108</v>
      </c>
      <c r="B13" s="80">
        <v>474458</v>
      </c>
      <c r="C13" s="80">
        <v>24549</v>
      </c>
      <c r="D13" s="80">
        <v>727420</v>
      </c>
      <c r="E13" s="80">
        <v>188024</v>
      </c>
      <c r="F13" s="80">
        <v>120905</v>
      </c>
      <c r="G13" s="80">
        <v>23728</v>
      </c>
      <c r="H13" s="80">
        <v>17900.3</v>
      </c>
      <c r="I13" s="80">
        <v>48012</v>
      </c>
      <c r="J13" s="80">
        <v>16244</v>
      </c>
      <c r="K13" s="80">
        <v>1231496</v>
      </c>
      <c r="L13" s="80">
        <v>310308</v>
      </c>
      <c r="M13" s="80">
        <v>36</v>
      </c>
      <c r="N13" s="80">
        <v>942</v>
      </c>
      <c r="O13" s="80">
        <v>7806</v>
      </c>
      <c r="P13" s="80">
        <v>26990</v>
      </c>
      <c r="Q13" s="81">
        <v>747042</v>
      </c>
      <c r="R13" s="80">
        <v>1408118</v>
      </c>
      <c r="S13" s="80"/>
      <c r="T13" s="80">
        <v>2203</v>
      </c>
      <c r="U13" s="80">
        <v>504680</v>
      </c>
      <c r="V13" s="80">
        <v>5145</v>
      </c>
      <c r="W13" s="80">
        <v>125810</v>
      </c>
      <c r="X13" s="80">
        <v>22543</v>
      </c>
      <c r="Y13" s="80">
        <v>122432</v>
      </c>
      <c r="Z13" s="80">
        <v>8115</v>
      </c>
      <c r="AA13" s="80">
        <v>195787</v>
      </c>
      <c r="AB13" s="80">
        <f>411996+1024918</f>
        <v>1436914</v>
      </c>
      <c r="AC13" s="80"/>
      <c r="AD13" s="74">
        <f t="shared" si="0"/>
        <v>7797607.2999999998</v>
      </c>
    </row>
    <row r="14" spans="1:30" x14ac:dyDescent="0.25">
      <c r="A14" s="79" t="s">
        <v>41</v>
      </c>
      <c r="B14" s="80">
        <f t="shared" ref="B14:AC14" si="1">B15-B13-B12-B11-B10-B9-B8-B7-B6-B5-B4</f>
        <v>9634054</v>
      </c>
      <c r="C14" s="80">
        <f t="shared" si="1"/>
        <v>556375</v>
      </c>
      <c r="D14" s="80">
        <f t="shared" si="1"/>
        <v>1107481</v>
      </c>
      <c r="E14" s="80">
        <f t="shared" si="1"/>
        <v>4173327</v>
      </c>
      <c r="F14" s="80">
        <f>F15-F13-F12-F11-F10-F9-F8-F7-F6-F5-F4</f>
        <v>281243</v>
      </c>
      <c r="G14" s="80">
        <f t="shared" si="1"/>
        <v>203222</v>
      </c>
      <c r="H14" s="80">
        <f t="shared" si="1"/>
        <v>616258.24000000185</v>
      </c>
      <c r="I14" s="80">
        <f t="shared" si="1"/>
        <v>110434</v>
      </c>
      <c r="J14" s="80">
        <f t="shared" si="1"/>
        <v>2828</v>
      </c>
      <c r="K14" s="80">
        <f t="shared" si="1"/>
        <v>3434666</v>
      </c>
      <c r="L14" s="80">
        <f t="shared" si="1"/>
        <v>378853</v>
      </c>
      <c r="M14" s="80">
        <f t="shared" si="1"/>
        <v>38502</v>
      </c>
      <c r="N14" s="80">
        <f t="shared" si="1"/>
        <v>81887</v>
      </c>
      <c r="O14" s="80">
        <f t="shared" si="1"/>
        <v>487976</v>
      </c>
      <c r="P14" s="80">
        <f>P15-P13-P12-P11-P10-P9-P8-P7-P6-P5-P4</f>
        <v>80210</v>
      </c>
      <c r="Q14" s="80">
        <f t="shared" si="1"/>
        <v>435473</v>
      </c>
      <c r="R14" s="80">
        <f t="shared" si="1"/>
        <v>23767747</v>
      </c>
      <c r="S14" s="80">
        <f t="shared" si="1"/>
        <v>1772467</v>
      </c>
      <c r="T14" s="80">
        <f t="shared" si="1"/>
        <v>5817</v>
      </c>
      <c r="U14" s="80">
        <f t="shared" si="1"/>
        <v>1035412</v>
      </c>
      <c r="V14" s="80">
        <f t="shared" si="1"/>
        <v>62575</v>
      </c>
      <c r="W14" s="80">
        <f t="shared" si="1"/>
        <v>165929</v>
      </c>
      <c r="X14" s="80">
        <f t="shared" si="1"/>
        <v>87784</v>
      </c>
      <c r="Y14" s="80">
        <f t="shared" si="1"/>
        <v>181878</v>
      </c>
      <c r="Z14" s="80">
        <f t="shared" si="1"/>
        <v>0</v>
      </c>
      <c r="AA14" s="80">
        <f t="shared" si="1"/>
        <v>125001</v>
      </c>
      <c r="AB14" s="80">
        <f t="shared" si="1"/>
        <v>1330</v>
      </c>
      <c r="AC14" s="80">
        <f t="shared" si="1"/>
        <v>105922</v>
      </c>
      <c r="AD14" s="74">
        <f t="shared" si="0"/>
        <v>48934651.240000002</v>
      </c>
    </row>
    <row r="15" spans="1:30" s="9" customFormat="1" x14ac:dyDescent="0.25">
      <c r="A15" s="75" t="s">
        <v>51</v>
      </c>
      <c r="B15" s="74">
        <v>37707648</v>
      </c>
      <c r="C15" s="74">
        <v>2304580</v>
      </c>
      <c r="D15" s="74">
        <v>51198284</v>
      </c>
      <c r="E15" s="74">
        <v>19068229</v>
      </c>
      <c r="F15" s="74">
        <v>23099917</v>
      </c>
      <c r="G15" s="74">
        <v>779284</v>
      </c>
      <c r="H15" s="74">
        <v>48113143.509999998</v>
      </c>
      <c r="I15" s="74">
        <v>14213478</v>
      </c>
      <c r="J15" s="74">
        <v>3538064</v>
      </c>
      <c r="K15" s="74">
        <v>90753688</v>
      </c>
      <c r="L15" s="74">
        <v>27651789</v>
      </c>
      <c r="M15" s="74">
        <v>98610</v>
      </c>
      <c r="N15" s="74">
        <v>2158891</v>
      </c>
      <c r="O15" s="74">
        <v>5620226</v>
      </c>
      <c r="P15" s="74">
        <v>1701484</v>
      </c>
      <c r="Q15" s="74">
        <v>138460592</v>
      </c>
      <c r="R15" s="74">
        <v>235647939</v>
      </c>
      <c r="S15" s="74">
        <v>95109579</v>
      </c>
      <c r="T15" s="74">
        <v>239466</v>
      </c>
      <c r="U15" s="74">
        <v>42648575</v>
      </c>
      <c r="V15" s="74">
        <v>1888849</v>
      </c>
      <c r="W15" s="74">
        <v>16286078</v>
      </c>
      <c r="X15" s="74">
        <v>13888686</v>
      </c>
      <c r="Y15" s="74">
        <v>45387993</v>
      </c>
      <c r="Z15" s="74">
        <v>2380471</v>
      </c>
      <c r="AA15" s="74">
        <v>21609198</v>
      </c>
      <c r="AB15" s="74">
        <v>120537118</v>
      </c>
      <c r="AC15" s="74">
        <v>8439406</v>
      </c>
      <c r="AD15" s="74">
        <f t="shared" si="0"/>
        <v>1070531265.51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46.5703125" style="52" bestFit="1" customWidth="1"/>
    <col min="2" max="2" width="12.85546875" style="8" customWidth="1"/>
    <col min="3" max="5" width="12.85546875" style="52" customWidth="1"/>
    <col min="6" max="6" width="12.85546875" style="55" customWidth="1"/>
    <col min="7" max="9" width="12.85546875" style="8" customWidth="1"/>
    <col min="10" max="10" width="12.85546875" style="52" customWidth="1"/>
    <col min="11" max="11" width="12.85546875" style="55" customWidth="1"/>
    <col min="12" max="15" width="12.85546875" style="8" customWidth="1"/>
    <col min="16" max="16" width="12.85546875" style="94" customWidth="1"/>
    <col min="17" max="17" width="12.85546875" style="8" customWidth="1"/>
    <col min="18" max="20" width="12.85546875" style="52" customWidth="1"/>
    <col min="21" max="21" width="12.85546875" style="55" customWidth="1"/>
    <col min="22" max="25" width="12.85546875" style="52" customWidth="1"/>
    <col min="26" max="26" width="12.85546875" style="55" customWidth="1"/>
    <col min="27" max="27" width="12.85546875" style="8" customWidth="1"/>
    <col min="28" max="30" width="12.85546875" style="52" customWidth="1"/>
    <col min="31" max="31" width="12.85546875" style="55" customWidth="1"/>
    <col min="32" max="32" width="12.85546875" style="8" customWidth="1"/>
    <col min="33" max="35" width="12.85546875" style="52" customWidth="1"/>
    <col min="36" max="36" width="12.85546875" style="55" customWidth="1"/>
    <col min="37" max="37" width="12.85546875" style="8" customWidth="1"/>
    <col min="38" max="45" width="12.85546875" style="52" customWidth="1"/>
    <col min="46" max="46" width="12.85546875" style="94" customWidth="1"/>
    <col min="47" max="50" width="12.85546875" style="8" customWidth="1"/>
    <col min="51" max="51" width="12.85546875" style="55" customWidth="1"/>
    <col min="52" max="55" width="12.85546875" style="8" customWidth="1"/>
    <col min="56" max="56" width="12.85546875" style="52" customWidth="1"/>
    <col min="57" max="57" width="12.85546875" style="8" customWidth="1"/>
    <col min="58" max="60" width="12.85546875" style="52" customWidth="1"/>
    <col min="61" max="61" width="12.85546875" style="94" customWidth="1"/>
    <col min="62" max="65" width="12.85546875" style="8" customWidth="1"/>
    <col min="66" max="66" width="12.85546875" style="55" customWidth="1"/>
    <col min="67" max="70" width="12.85546875" style="8" customWidth="1"/>
    <col min="71" max="71" width="12.85546875" style="55" customWidth="1"/>
    <col min="72" max="72" width="12.85546875" style="8" customWidth="1"/>
    <col min="73" max="75" width="12.85546875" style="52" customWidth="1"/>
    <col min="76" max="76" width="12.85546875" style="55" customWidth="1"/>
    <col min="77" max="80" width="12.85546875" style="52" customWidth="1"/>
    <col min="81" max="81" width="12.85546875" style="55" customWidth="1"/>
    <col min="82" max="82" width="12.85546875" style="8" customWidth="1"/>
    <col min="83" max="85" width="12.85546875" style="52" customWidth="1"/>
    <col min="86" max="86" width="12.85546875" style="55" customWidth="1"/>
    <col min="87" max="91" width="12.85546875" style="52" customWidth="1"/>
    <col min="92" max="92" width="12.85546875" style="8" customWidth="1"/>
    <col min="93" max="95" width="12.85546875" style="52" customWidth="1"/>
    <col min="96" max="96" width="12.85546875" style="55" customWidth="1"/>
    <col min="97" max="97" width="12.85546875" style="8" customWidth="1"/>
    <col min="98" max="100" width="12.85546875" style="52" customWidth="1"/>
    <col min="101" max="101" width="12.85546875" style="55" customWidth="1"/>
    <col min="102" max="102" width="12.85546875" style="8" customWidth="1"/>
    <col min="103" max="105" width="12.85546875" style="52" customWidth="1"/>
    <col min="106" max="106" width="12.85546875" style="55" customWidth="1"/>
    <col min="107" max="107" width="12.85546875" style="8" customWidth="1"/>
    <col min="108" max="110" width="12.85546875" style="52" customWidth="1"/>
    <col min="111" max="111" width="12.85546875" style="55" customWidth="1"/>
    <col min="112" max="112" width="12.85546875" style="8" customWidth="1"/>
    <col min="113" max="120" width="12.85546875" style="52" customWidth="1"/>
    <col min="121" max="121" width="12.85546875" style="55" customWidth="1"/>
    <col min="122" max="123" width="12.85546875" style="8" customWidth="1"/>
    <col min="124" max="125" width="12.85546875" style="52" customWidth="1"/>
    <col min="126" max="126" width="12.85546875" style="55" customWidth="1"/>
    <col min="127" max="130" width="12.85546875" style="8" customWidth="1"/>
    <col min="131" max="131" width="12.85546875" style="55" customWidth="1"/>
    <col min="132" max="132" width="12.85546875" style="8" customWidth="1"/>
    <col min="133" max="135" width="12.85546875" style="52" customWidth="1"/>
    <col min="136" max="136" width="12.85546875" style="55" customWidth="1"/>
    <col min="137" max="140" width="12.85546875" style="8" customWidth="1"/>
    <col min="141" max="141" width="12.85546875" style="55" customWidth="1"/>
    <col min="142" max="16384" width="9.140625" style="52"/>
  </cols>
  <sheetData>
    <row r="1" spans="1:141" ht="34.5" x14ac:dyDescent="0.25">
      <c r="A1" s="66" t="s">
        <v>278</v>
      </c>
    </row>
    <row r="2" spans="1:141" x14ac:dyDescent="0.25">
      <c r="A2" s="53" t="s">
        <v>0</v>
      </c>
      <c r="B2" s="100" t="s">
        <v>1</v>
      </c>
      <c r="C2" s="100"/>
      <c r="D2" s="100"/>
      <c r="E2" s="100"/>
      <c r="F2" s="100"/>
      <c r="G2" s="100" t="s">
        <v>2</v>
      </c>
      <c r="H2" s="100"/>
      <c r="I2" s="100"/>
      <c r="J2" s="100"/>
      <c r="K2" s="100"/>
      <c r="L2" s="100" t="s">
        <v>3</v>
      </c>
      <c r="M2" s="100"/>
      <c r="N2" s="100"/>
      <c r="O2" s="100"/>
      <c r="P2" s="100"/>
      <c r="Q2" s="100" t="s">
        <v>4</v>
      </c>
      <c r="R2" s="100"/>
      <c r="S2" s="100"/>
      <c r="T2" s="100"/>
      <c r="U2" s="100"/>
      <c r="V2" s="100" t="s">
        <v>5</v>
      </c>
      <c r="W2" s="100"/>
      <c r="X2" s="100"/>
      <c r="Y2" s="100"/>
      <c r="Z2" s="100"/>
      <c r="AA2" s="100" t="s">
        <v>6</v>
      </c>
      <c r="AB2" s="100"/>
      <c r="AC2" s="100"/>
      <c r="AD2" s="100"/>
      <c r="AE2" s="100"/>
      <c r="AF2" s="100" t="s">
        <v>7</v>
      </c>
      <c r="AG2" s="100"/>
      <c r="AH2" s="100"/>
      <c r="AI2" s="100"/>
      <c r="AJ2" s="100"/>
      <c r="AK2" s="100" t="s">
        <v>8</v>
      </c>
      <c r="AL2" s="100"/>
      <c r="AM2" s="100"/>
      <c r="AN2" s="100"/>
      <c r="AO2" s="100"/>
      <c r="AP2" s="100" t="s">
        <v>10</v>
      </c>
      <c r="AQ2" s="100"/>
      <c r="AR2" s="100"/>
      <c r="AS2" s="100"/>
      <c r="AT2" s="100"/>
      <c r="AU2" s="100" t="s">
        <v>11</v>
      </c>
      <c r="AV2" s="100"/>
      <c r="AW2" s="100"/>
      <c r="AX2" s="100"/>
      <c r="AY2" s="100"/>
      <c r="AZ2" s="100" t="s">
        <v>12</v>
      </c>
      <c r="BA2" s="100"/>
      <c r="BB2" s="100"/>
      <c r="BC2" s="100"/>
      <c r="BD2" s="100"/>
      <c r="BE2" s="100" t="s">
        <v>13</v>
      </c>
      <c r="BF2" s="100"/>
      <c r="BG2" s="100"/>
      <c r="BH2" s="100"/>
      <c r="BI2" s="100"/>
      <c r="BJ2" s="100" t="s">
        <v>14</v>
      </c>
      <c r="BK2" s="100"/>
      <c r="BL2" s="100"/>
      <c r="BM2" s="100"/>
      <c r="BN2" s="100"/>
      <c r="BO2" s="100" t="s">
        <v>15</v>
      </c>
      <c r="BP2" s="100"/>
      <c r="BQ2" s="100"/>
      <c r="BR2" s="100"/>
      <c r="BS2" s="100"/>
      <c r="BT2" s="100" t="s">
        <v>16</v>
      </c>
      <c r="BU2" s="100"/>
      <c r="BV2" s="100"/>
      <c r="BW2" s="100"/>
      <c r="BX2" s="100"/>
      <c r="BY2" s="100" t="s">
        <v>17</v>
      </c>
      <c r="BZ2" s="100"/>
      <c r="CA2" s="100"/>
      <c r="CB2" s="100"/>
      <c r="CC2" s="100"/>
      <c r="CD2" s="100" t="s">
        <v>18</v>
      </c>
      <c r="CE2" s="100"/>
      <c r="CF2" s="100"/>
      <c r="CG2" s="100"/>
      <c r="CH2" s="100"/>
      <c r="CI2" s="100" t="s">
        <v>19</v>
      </c>
      <c r="CJ2" s="100"/>
      <c r="CK2" s="100"/>
      <c r="CL2" s="100"/>
      <c r="CM2" s="100"/>
      <c r="CN2" s="100" t="s">
        <v>20</v>
      </c>
      <c r="CO2" s="100"/>
      <c r="CP2" s="100"/>
      <c r="CQ2" s="100"/>
      <c r="CR2" s="100"/>
      <c r="CS2" s="100" t="s">
        <v>21</v>
      </c>
      <c r="CT2" s="100"/>
      <c r="CU2" s="100"/>
      <c r="CV2" s="100"/>
      <c r="CW2" s="100"/>
      <c r="CX2" s="100" t="s">
        <v>22</v>
      </c>
      <c r="CY2" s="100"/>
      <c r="CZ2" s="100"/>
      <c r="DA2" s="100"/>
      <c r="DB2" s="100"/>
      <c r="DC2" s="100" t="s">
        <v>23</v>
      </c>
      <c r="DD2" s="100"/>
      <c r="DE2" s="100"/>
      <c r="DF2" s="100"/>
      <c r="DG2" s="100"/>
      <c r="DH2" s="100" t="s">
        <v>24</v>
      </c>
      <c r="DI2" s="100"/>
      <c r="DJ2" s="100"/>
      <c r="DK2" s="100"/>
      <c r="DL2" s="100"/>
      <c r="DM2" s="100" t="s">
        <v>25</v>
      </c>
      <c r="DN2" s="100"/>
      <c r="DO2" s="100"/>
      <c r="DP2" s="100"/>
      <c r="DQ2" s="100"/>
      <c r="DR2" s="100" t="s">
        <v>26</v>
      </c>
      <c r="DS2" s="100"/>
      <c r="DT2" s="100"/>
      <c r="DU2" s="100"/>
      <c r="DV2" s="100"/>
      <c r="DW2" s="100" t="s">
        <v>27</v>
      </c>
      <c r="DX2" s="100"/>
      <c r="DY2" s="100"/>
      <c r="DZ2" s="100"/>
      <c r="EA2" s="100"/>
      <c r="EB2" s="100" t="s">
        <v>28</v>
      </c>
      <c r="EC2" s="100"/>
      <c r="ED2" s="100"/>
      <c r="EE2" s="100"/>
      <c r="EF2" s="100"/>
      <c r="EG2" s="100" t="s">
        <v>29</v>
      </c>
      <c r="EH2" s="100"/>
      <c r="EI2" s="100"/>
      <c r="EJ2" s="100"/>
      <c r="EK2" s="100"/>
    </row>
    <row r="3" spans="1:141" ht="15" customHeight="1" x14ac:dyDescent="0.25">
      <c r="A3" s="102" t="s">
        <v>178</v>
      </c>
      <c r="B3" s="101" t="s">
        <v>172</v>
      </c>
      <c r="C3" s="102" t="s">
        <v>173</v>
      </c>
      <c r="D3" s="102"/>
      <c r="E3" s="102"/>
      <c r="F3" s="103" t="s">
        <v>174</v>
      </c>
      <c r="G3" s="101" t="s">
        <v>172</v>
      </c>
      <c r="H3" s="102" t="s">
        <v>173</v>
      </c>
      <c r="I3" s="102"/>
      <c r="J3" s="102"/>
      <c r="K3" s="103" t="s">
        <v>174</v>
      </c>
      <c r="L3" s="101" t="s">
        <v>172</v>
      </c>
      <c r="M3" s="101" t="s">
        <v>173</v>
      </c>
      <c r="N3" s="101"/>
      <c r="O3" s="101"/>
      <c r="P3" s="108" t="s">
        <v>174</v>
      </c>
      <c r="Q3" s="101" t="s">
        <v>172</v>
      </c>
      <c r="R3" s="102" t="s">
        <v>173</v>
      </c>
      <c r="S3" s="102"/>
      <c r="T3" s="102"/>
      <c r="U3" s="103" t="s">
        <v>174</v>
      </c>
      <c r="V3" s="102" t="s">
        <v>172</v>
      </c>
      <c r="W3" s="102" t="s">
        <v>173</v>
      </c>
      <c r="X3" s="102"/>
      <c r="Y3" s="102"/>
      <c r="Z3" s="103" t="s">
        <v>174</v>
      </c>
      <c r="AA3" s="101" t="s">
        <v>172</v>
      </c>
      <c r="AB3" s="102" t="s">
        <v>173</v>
      </c>
      <c r="AC3" s="102"/>
      <c r="AD3" s="102"/>
      <c r="AE3" s="103" t="s">
        <v>174</v>
      </c>
      <c r="AF3" s="101" t="s">
        <v>172</v>
      </c>
      <c r="AG3" s="102" t="s">
        <v>173</v>
      </c>
      <c r="AH3" s="102"/>
      <c r="AI3" s="102"/>
      <c r="AJ3" s="103" t="s">
        <v>174</v>
      </c>
      <c r="AK3" s="101" t="s">
        <v>172</v>
      </c>
      <c r="AL3" s="102" t="s">
        <v>173</v>
      </c>
      <c r="AM3" s="102"/>
      <c r="AN3" s="102"/>
      <c r="AO3" s="102" t="s">
        <v>174</v>
      </c>
      <c r="AP3" s="102" t="s">
        <v>172</v>
      </c>
      <c r="AQ3" s="102" t="s">
        <v>173</v>
      </c>
      <c r="AR3" s="102"/>
      <c r="AS3" s="102"/>
      <c r="AT3" s="108" t="s">
        <v>174</v>
      </c>
      <c r="AU3" s="101" t="s">
        <v>172</v>
      </c>
      <c r="AV3" s="101" t="s">
        <v>173</v>
      </c>
      <c r="AW3" s="101"/>
      <c r="AX3" s="101"/>
      <c r="AY3" s="103" t="s">
        <v>174</v>
      </c>
      <c r="AZ3" s="101" t="s">
        <v>172</v>
      </c>
      <c r="BA3" s="101" t="s">
        <v>173</v>
      </c>
      <c r="BB3" s="101"/>
      <c r="BC3" s="101"/>
      <c r="BD3" s="102" t="s">
        <v>174</v>
      </c>
      <c r="BE3" s="101" t="s">
        <v>172</v>
      </c>
      <c r="BF3" s="102" t="s">
        <v>173</v>
      </c>
      <c r="BG3" s="102"/>
      <c r="BH3" s="102"/>
      <c r="BI3" s="108" t="s">
        <v>174</v>
      </c>
      <c r="BJ3" s="101" t="s">
        <v>172</v>
      </c>
      <c r="BK3" s="101" t="s">
        <v>173</v>
      </c>
      <c r="BL3" s="101"/>
      <c r="BM3" s="101"/>
      <c r="BN3" s="103" t="s">
        <v>174</v>
      </c>
      <c r="BO3" s="101" t="s">
        <v>172</v>
      </c>
      <c r="BP3" s="101" t="s">
        <v>173</v>
      </c>
      <c r="BQ3" s="101"/>
      <c r="BR3" s="101"/>
      <c r="BS3" s="103" t="s">
        <v>174</v>
      </c>
      <c r="BT3" s="101" t="s">
        <v>172</v>
      </c>
      <c r="BU3" s="102" t="s">
        <v>173</v>
      </c>
      <c r="BV3" s="102"/>
      <c r="BW3" s="102"/>
      <c r="BX3" s="103" t="s">
        <v>174</v>
      </c>
      <c r="BY3" s="102" t="s">
        <v>172</v>
      </c>
      <c r="BZ3" s="102" t="s">
        <v>173</v>
      </c>
      <c r="CA3" s="102"/>
      <c r="CB3" s="102"/>
      <c r="CC3" s="103" t="s">
        <v>174</v>
      </c>
      <c r="CD3" s="101" t="s">
        <v>172</v>
      </c>
      <c r="CE3" s="102" t="s">
        <v>173</v>
      </c>
      <c r="CF3" s="102"/>
      <c r="CG3" s="102"/>
      <c r="CH3" s="103" t="s">
        <v>174</v>
      </c>
      <c r="CI3" s="102" t="s">
        <v>172</v>
      </c>
      <c r="CJ3" s="102" t="s">
        <v>173</v>
      </c>
      <c r="CK3" s="102"/>
      <c r="CL3" s="102"/>
      <c r="CM3" s="104" t="s">
        <v>174</v>
      </c>
      <c r="CN3" s="101" t="s">
        <v>172</v>
      </c>
      <c r="CO3" s="102" t="s">
        <v>173</v>
      </c>
      <c r="CP3" s="102"/>
      <c r="CQ3" s="102"/>
      <c r="CR3" s="103" t="s">
        <v>174</v>
      </c>
      <c r="CS3" s="101" t="s">
        <v>172</v>
      </c>
      <c r="CT3" s="102" t="s">
        <v>173</v>
      </c>
      <c r="CU3" s="102"/>
      <c r="CV3" s="102"/>
      <c r="CW3" s="103" t="s">
        <v>174</v>
      </c>
      <c r="CX3" s="101" t="s">
        <v>172</v>
      </c>
      <c r="CY3" s="102" t="s">
        <v>173</v>
      </c>
      <c r="CZ3" s="102"/>
      <c r="DA3" s="102"/>
      <c r="DB3" s="103" t="s">
        <v>174</v>
      </c>
      <c r="DC3" s="101" t="s">
        <v>172</v>
      </c>
      <c r="DD3" s="102" t="s">
        <v>173</v>
      </c>
      <c r="DE3" s="102"/>
      <c r="DF3" s="102"/>
      <c r="DG3" s="103" t="s">
        <v>174</v>
      </c>
      <c r="DH3" s="101" t="s">
        <v>172</v>
      </c>
      <c r="DI3" s="102" t="s">
        <v>173</v>
      </c>
      <c r="DJ3" s="102"/>
      <c r="DK3" s="102"/>
      <c r="DL3" s="104" t="s">
        <v>174</v>
      </c>
      <c r="DM3" s="102" t="s">
        <v>172</v>
      </c>
      <c r="DN3" s="102" t="s">
        <v>173</v>
      </c>
      <c r="DO3" s="102"/>
      <c r="DP3" s="102"/>
      <c r="DQ3" s="103" t="s">
        <v>174</v>
      </c>
      <c r="DR3" s="101" t="s">
        <v>172</v>
      </c>
      <c r="DS3" s="102" t="s">
        <v>173</v>
      </c>
      <c r="DT3" s="102"/>
      <c r="DU3" s="102"/>
      <c r="DV3" s="103" t="s">
        <v>174</v>
      </c>
      <c r="DW3" s="101" t="s">
        <v>172</v>
      </c>
      <c r="DX3" s="101" t="s">
        <v>173</v>
      </c>
      <c r="DY3" s="101"/>
      <c r="DZ3" s="101"/>
      <c r="EA3" s="103" t="s">
        <v>174</v>
      </c>
      <c r="EB3" s="101" t="s">
        <v>172</v>
      </c>
      <c r="EC3" s="102" t="s">
        <v>173</v>
      </c>
      <c r="ED3" s="102"/>
      <c r="EE3" s="102"/>
      <c r="EF3" s="103" t="s">
        <v>174</v>
      </c>
      <c r="EG3" s="101" t="s">
        <v>172</v>
      </c>
      <c r="EH3" s="101" t="s">
        <v>173</v>
      </c>
      <c r="EI3" s="101"/>
      <c r="EJ3" s="101"/>
      <c r="EK3" s="103" t="s">
        <v>174</v>
      </c>
    </row>
    <row r="4" spans="1:141" ht="30" x14ac:dyDescent="0.25">
      <c r="A4" s="102"/>
      <c r="B4" s="101"/>
      <c r="C4" s="22" t="s">
        <v>175</v>
      </c>
      <c r="D4" s="22" t="s">
        <v>176</v>
      </c>
      <c r="E4" s="22" t="s">
        <v>177</v>
      </c>
      <c r="F4" s="103"/>
      <c r="G4" s="101"/>
      <c r="H4" s="20" t="s">
        <v>175</v>
      </c>
      <c r="I4" s="20" t="s">
        <v>176</v>
      </c>
      <c r="J4" s="22" t="s">
        <v>177</v>
      </c>
      <c r="K4" s="103"/>
      <c r="L4" s="101"/>
      <c r="M4" s="20" t="s">
        <v>175</v>
      </c>
      <c r="N4" s="20" t="s">
        <v>176</v>
      </c>
      <c r="O4" s="20" t="s">
        <v>177</v>
      </c>
      <c r="P4" s="108"/>
      <c r="Q4" s="101"/>
      <c r="R4" s="22" t="s">
        <v>175</v>
      </c>
      <c r="S4" s="22" t="s">
        <v>176</v>
      </c>
      <c r="T4" s="22" t="s">
        <v>177</v>
      </c>
      <c r="U4" s="103"/>
      <c r="V4" s="102"/>
      <c r="W4" s="22" t="s">
        <v>175</v>
      </c>
      <c r="X4" s="22" t="s">
        <v>176</v>
      </c>
      <c r="Y4" s="22" t="s">
        <v>177</v>
      </c>
      <c r="Z4" s="103"/>
      <c r="AA4" s="101"/>
      <c r="AB4" s="22" t="s">
        <v>175</v>
      </c>
      <c r="AC4" s="22" t="s">
        <v>176</v>
      </c>
      <c r="AD4" s="22" t="s">
        <v>177</v>
      </c>
      <c r="AE4" s="103"/>
      <c r="AF4" s="101"/>
      <c r="AG4" s="22" t="s">
        <v>175</v>
      </c>
      <c r="AH4" s="22" t="s">
        <v>176</v>
      </c>
      <c r="AI4" s="22" t="s">
        <v>177</v>
      </c>
      <c r="AJ4" s="103"/>
      <c r="AK4" s="101"/>
      <c r="AL4" s="22" t="s">
        <v>175</v>
      </c>
      <c r="AM4" s="22" t="s">
        <v>176</v>
      </c>
      <c r="AN4" s="22" t="s">
        <v>177</v>
      </c>
      <c r="AO4" s="102"/>
      <c r="AP4" s="102"/>
      <c r="AQ4" s="22" t="s">
        <v>175</v>
      </c>
      <c r="AR4" s="22" t="s">
        <v>176</v>
      </c>
      <c r="AS4" s="22" t="s">
        <v>177</v>
      </c>
      <c r="AT4" s="108"/>
      <c r="AU4" s="101"/>
      <c r="AV4" s="20" t="s">
        <v>175</v>
      </c>
      <c r="AW4" s="20" t="s">
        <v>176</v>
      </c>
      <c r="AX4" s="20" t="s">
        <v>177</v>
      </c>
      <c r="AY4" s="103"/>
      <c r="AZ4" s="101"/>
      <c r="BA4" s="20" t="s">
        <v>175</v>
      </c>
      <c r="BB4" s="20" t="s">
        <v>176</v>
      </c>
      <c r="BC4" s="20" t="s">
        <v>177</v>
      </c>
      <c r="BD4" s="102"/>
      <c r="BE4" s="101"/>
      <c r="BF4" s="22" t="s">
        <v>175</v>
      </c>
      <c r="BG4" s="22" t="s">
        <v>176</v>
      </c>
      <c r="BH4" s="22" t="s">
        <v>177</v>
      </c>
      <c r="BI4" s="108"/>
      <c r="BJ4" s="101"/>
      <c r="BK4" s="20" t="s">
        <v>175</v>
      </c>
      <c r="BL4" s="20" t="s">
        <v>176</v>
      </c>
      <c r="BM4" s="20" t="s">
        <v>177</v>
      </c>
      <c r="BN4" s="103"/>
      <c r="BO4" s="101"/>
      <c r="BP4" s="20" t="s">
        <v>175</v>
      </c>
      <c r="BQ4" s="20" t="s">
        <v>176</v>
      </c>
      <c r="BR4" s="20" t="s">
        <v>177</v>
      </c>
      <c r="BS4" s="103"/>
      <c r="BT4" s="101"/>
      <c r="BU4" s="22" t="s">
        <v>175</v>
      </c>
      <c r="BV4" s="22" t="s">
        <v>176</v>
      </c>
      <c r="BW4" s="22" t="s">
        <v>177</v>
      </c>
      <c r="BX4" s="103"/>
      <c r="BY4" s="102"/>
      <c r="BZ4" s="22" t="s">
        <v>175</v>
      </c>
      <c r="CA4" s="22" t="s">
        <v>176</v>
      </c>
      <c r="CB4" s="22" t="s">
        <v>177</v>
      </c>
      <c r="CC4" s="103"/>
      <c r="CD4" s="101"/>
      <c r="CE4" s="22" t="s">
        <v>175</v>
      </c>
      <c r="CF4" s="22" t="s">
        <v>176</v>
      </c>
      <c r="CG4" s="22" t="s">
        <v>177</v>
      </c>
      <c r="CH4" s="103"/>
      <c r="CI4" s="102"/>
      <c r="CJ4" s="22" t="s">
        <v>175</v>
      </c>
      <c r="CK4" s="22" t="s">
        <v>176</v>
      </c>
      <c r="CL4" s="22" t="s">
        <v>177</v>
      </c>
      <c r="CM4" s="104"/>
      <c r="CN4" s="101"/>
      <c r="CO4" s="22" t="s">
        <v>175</v>
      </c>
      <c r="CP4" s="22" t="s">
        <v>176</v>
      </c>
      <c r="CQ4" s="22" t="s">
        <v>177</v>
      </c>
      <c r="CR4" s="103"/>
      <c r="CS4" s="101"/>
      <c r="CT4" s="22" t="s">
        <v>175</v>
      </c>
      <c r="CU4" s="22" t="s">
        <v>176</v>
      </c>
      <c r="CV4" s="22" t="s">
        <v>177</v>
      </c>
      <c r="CW4" s="103"/>
      <c r="CX4" s="101"/>
      <c r="CY4" s="22" t="s">
        <v>175</v>
      </c>
      <c r="CZ4" s="22" t="s">
        <v>176</v>
      </c>
      <c r="DA4" s="22" t="s">
        <v>177</v>
      </c>
      <c r="DB4" s="103"/>
      <c r="DC4" s="101"/>
      <c r="DD4" s="22" t="s">
        <v>175</v>
      </c>
      <c r="DE4" s="22" t="s">
        <v>176</v>
      </c>
      <c r="DF4" s="22" t="s">
        <v>177</v>
      </c>
      <c r="DG4" s="103"/>
      <c r="DH4" s="101"/>
      <c r="DI4" s="22" t="s">
        <v>175</v>
      </c>
      <c r="DJ4" s="22" t="s">
        <v>176</v>
      </c>
      <c r="DK4" s="22" t="s">
        <v>177</v>
      </c>
      <c r="DL4" s="104"/>
      <c r="DM4" s="102"/>
      <c r="DN4" s="22" t="s">
        <v>175</v>
      </c>
      <c r="DO4" s="22" t="s">
        <v>176</v>
      </c>
      <c r="DP4" s="22" t="s">
        <v>177</v>
      </c>
      <c r="DQ4" s="103"/>
      <c r="DR4" s="101"/>
      <c r="DS4" s="20" t="s">
        <v>175</v>
      </c>
      <c r="DT4" s="22" t="s">
        <v>176</v>
      </c>
      <c r="DU4" s="22" t="s">
        <v>177</v>
      </c>
      <c r="DV4" s="103"/>
      <c r="DW4" s="101"/>
      <c r="DX4" s="20" t="s">
        <v>175</v>
      </c>
      <c r="DY4" s="20" t="s">
        <v>176</v>
      </c>
      <c r="DZ4" s="20" t="s">
        <v>177</v>
      </c>
      <c r="EA4" s="103"/>
      <c r="EB4" s="101"/>
      <c r="EC4" s="22" t="s">
        <v>175</v>
      </c>
      <c r="ED4" s="22" t="s">
        <v>176</v>
      </c>
      <c r="EE4" s="22" t="s">
        <v>177</v>
      </c>
      <c r="EF4" s="103"/>
      <c r="EG4" s="101"/>
      <c r="EH4" s="20" t="s">
        <v>175</v>
      </c>
      <c r="EI4" s="20" t="s">
        <v>176</v>
      </c>
      <c r="EJ4" s="20" t="s">
        <v>177</v>
      </c>
      <c r="EK4" s="103"/>
    </row>
    <row r="5" spans="1:141" x14ac:dyDescent="0.25">
      <c r="A5" s="23" t="s">
        <v>179</v>
      </c>
      <c r="B5" s="11"/>
      <c r="C5" s="23"/>
      <c r="D5" s="23"/>
      <c r="E5" s="23"/>
      <c r="F5" s="49"/>
      <c r="G5" s="11"/>
      <c r="H5" s="11"/>
      <c r="I5" s="11"/>
      <c r="J5" s="23"/>
      <c r="K5" s="49"/>
      <c r="L5" s="11"/>
      <c r="M5" s="11"/>
      <c r="N5" s="11"/>
      <c r="O5" s="11"/>
      <c r="P5" s="96"/>
      <c r="Q5" s="11"/>
      <c r="R5" s="23"/>
      <c r="S5" s="23"/>
      <c r="T5" s="23"/>
      <c r="U5" s="49"/>
      <c r="V5" s="23"/>
      <c r="W5" s="23"/>
      <c r="X5" s="23"/>
      <c r="Y5" s="23"/>
      <c r="Z5" s="49"/>
      <c r="AA5" s="11"/>
      <c r="AB5" s="23"/>
      <c r="AC5" s="23"/>
      <c r="AD5" s="23"/>
      <c r="AE5" s="49"/>
      <c r="AF5" s="11"/>
      <c r="AG5" s="23"/>
      <c r="AH5" s="23"/>
      <c r="AI5" s="23"/>
      <c r="AJ5" s="49"/>
      <c r="AK5" s="11"/>
      <c r="AL5" s="23"/>
      <c r="AM5" s="23"/>
      <c r="AN5" s="23"/>
      <c r="AO5" s="49"/>
      <c r="AP5" s="23"/>
      <c r="AQ5" s="23"/>
      <c r="AR5" s="23"/>
      <c r="AS5" s="23"/>
      <c r="AT5" s="96"/>
      <c r="AU5" s="11"/>
      <c r="AV5" s="11"/>
      <c r="AW5" s="11"/>
      <c r="AX5" s="11"/>
      <c r="AY5" s="49"/>
      <c r="AZ5" s="11"/>
      <c r="BA5" s="11"/>
      <c r="BB5" s="11"/>
      <c r="BC5" s="11"/>
      <c r="BD5" s="23"/>
      <c r="BE5" s="11"/>
      <c r="BF5" s="23"/>
      <c r="BG5" s="23"/>
      <c r="BH5" s="23"/>
      <c r="BI5" s="96"/>
      <c r="BJ5" s="11"/>
      <c r="BK5" s="11"/>
      <c r="BL5" s="11"/>
      <c r="BM5" s="11"/>
      <c r="BN5" s="49"/>
      <c r="BO5" s="11"/>
      <c r="BP5" s="11"/>
      <c r="BQ5" s="11"/>
      <c r="BR5" s="11"/>
      <c r="BS5" s="49"/>
      <c r="BT5" s="11"/>
      <c r="BU5" s="23"/>
      <c r="BV5" s="23"/>
      <c r="BW5" s="23"/>
      <c r="BX5" s="49"/>
      <c r="BY5" s="23"/>
      <c r="BZ5" s="123">
        <v>1022.88</v>
      </c>
      <c r="CA5" s="23"/>
      <c r="CB5" s="23"/>
      <c r="CC5" s="49">
        <v>3.4099999999999998E-2</v>
      </c>
      <c r="CD5" s="11">
        <v>9</v>
      </c>
      <c r="CE5" s="23"/>
      <c r="CF5" s="23"/>
      <c r="CG5" s="23">
        <v>753.35</v>
      </c>
      <c r="CH5" s="49">
        <v>1.3599999999999999E-2</v>
      </c>
      <c r="CI5" s="23"/>
      <c r="CJ5" s="23"/>
      <c r="CK5" s="23"/>
      <c r="CL5" s="23"/>
      <c r="CM5" s="49"/>
      <c r="CN5" s="11"/>
      <c r="CO5" s="23"/>
      <c r="CP5" s="23"/>
      <c r="CQ5" s="23"/>
      <c r="CR5" s="49"/>
      <c r="CS5" s="11">
        <v>2</v>
      </c>
      <c r="CT5" s="23">
        <v>1.71</v>
      </c>
      <c r="CU5" s="23"/>
      <c r="CV5" s="23">
        <v>0.01</v>
      </c>
      <c r="CW5" s="49">
        <v>1E-4</v>
      </c>
      <c r="CX5" s="11"/>
      <c r="CY5" s="23"/>
      <c r="CZ5" s="23"/>
      <c r="DA5" s="23"/>
      <c r="DB5" s="49"/>
      <c r="DC5" s="11"/>
      <c r="DD5" s="23"/>
      <c r="DE5" s="23"/>
      <c r="DF5" s="23"/>
      <c r="DG5" s="49"/>
      <c r="DH5" s="11"/>
      <c r="DI5" s="23"/>
      <c r="DJ5" s="23"/>
      <c r="DK5" s="23"/>
      <c r="DL5" s="23"/>
      <c r="DM5" s="23">
        <v>1</v>
      </c>
      <c r="DN5" s="23">
        <v>0.28000000000000003</v>
      </c>
      <c r="DO5" s="23"/>
      <c r="DP5" s="23"/>
      <c r="DQ5" s="49">
        <v>1E-4</v>
      </c>
      <c r="DR5" s="11"/>
      <c r="DS5" s="11"/>
      <c r="DT5" s="23"/>
      <c r="DU5" s="23"/>
      <c r="DV5" s="49"/>
      <c r="DW5" s="11"/>
      <c r="DX5" s="11"/>
      <c r="DY5" s="11"/>
      <c r="DZ5" s="11"/>
      <c r="EA5" s="49"/>
      <c r="EB5" s="11">
        <v>2</v>
      </c>
      <c r="EC5" s="23"/>
      <c r="ED5" s="23"/>
      <c r="EE5" s="23">
        <v>3.22</v>
      </c>
      <c r="EF5" s="49">
        <v>1.8E-3</v>
      </c>
      <c r="EG5" s="11"/>
      <c r="EH5" s="11"/>
      <c r="EI5" s="11"/>
      <c r="EJ5" s="11"/>
      <c r="EK5" s="49"/>
    </row>
    <row r="6" spans="1:141" x14ac:dyDescent="0.25">
      <c r="A6" s="23" t="s">
        <v>180</v>
      </c>
      <c r="B6" s="11">
        <v>4</v>
      </c>
      <c r="C6" s="23">
        <v>14958.36</v>
      </c>
      <c r="D6" s="23">
        <v>2331.88</v>
      </c>
      <c r="E6" s="23"/>
      <c r="F6" s="49">
        <v>0.13370000000000001</v>
      </c>
      <c r="G6" s="11"/>
      <c r="H6" s="11"/>
      <c r="I6" s="11"/>
      <c r="J6" s="23"/>
      <c r="K6" s="49"/>
      <c r="L6" s="11">
        <v>24</v>
      </c>
      <c r="M6" s="11">
        <v>13569</v>
      </c>
      <c r="N6" s="11">
        <v>1453</v>
      </c>
      <c r="O6" s="11">
        <v>3232</v>
      </c>
      <c r="P6" s="96">
        <v>0.41</v>
      </c>
      <c r="Q6" s="11">
        <v>2</v>
      </c>
      <c r="R6" s="23">
        <v>42.77</v>
      </c>
      <c r="S6" s="23"/>
      <c r="T6" s="23">
        <v>31.83</v>
      </c>
      <c r="U6" s="49">
        <v>1.4999999999999999E-2</v>
      </c>
      <c r="V6" s="23"/>
      <c r="W6" s="23">
        <v>498.83</v>
      </c>
      <c r="X6" s="23"/>
      <c r="Y6" s="23"/>
      <c r="Z6" s="49">
        <v>3.85E-2</v>
      </c>
      <c r="AA6" s="11"/>
      <c r="AB6" s="23"/>
      <c r="AC6" s="23"/>
      <c r="AD6" s="23"/>
      <c r="AE6" s="49"/>
      <c r="AF6" s="11"/>
      <c r="AG6" s="23"/>
      <c r="AH6" s="23"/>
      <c r="AI6" s="23"/>
      <c r="AJ6" s="49"/>
      <c r="AK6" s="11">
        <v>5</v>
      </c>
      <c r="AL6" s="23">
        <v>764.04</v>
      </c>
      <c r="AM6" s="23">
        <v>36.770000000000003</v>
      </c>
      <c r="AN6" s="23"/>
      <c r="AO6" s="49">
        <v>5.1499999999999997E-2</v>
      </c>
      <c r="AP6" s="23">
        <v>1</v>
      </c>
      <c r="AQ6" s="23">
        <v>377.63</v>
      </c>
      <c r="AR6" s="23"/>
      <c r="AS6" s="23"/>
      <c r="AT6" s="96">
        <v>0.11</v>
      </c>
      <c r="AU6" s="11">
        <v>30</v>
      </c>
      <c r="AV6" s="11">
        <v>59489</v>
      </c>
      <c r="AW6" s="11">
        <v>6882</v>
      </c>
      <c r="AX6" s="11">
        <v>9361</v>
      </c>
      <c r="AY6" s="49">
        <v>0.26479999999999998</v>
      </c>
      <c r="AZ6" s="11">
        <v>25</v>
      </c>
      <c r="BA6" s="11">
        <v>4745</v>
      </c>
      <c r="BB6" s="11">
        <v>815</v>
      </c>
      <c r="BC6" s="11">
        <v>6046</v>
      </c>
      <c r="BD6" s="49">
        <v>0.15</v>
      </c>
      <c r="BE6" s="11"/>
      <c r="BF6" s="23"/>
      <c r="BG6" s="23"/>
      <c r="BH6" s="23"/>
      <c r="BI6" s="96"/>
      <c r="BJ6" s="11">
        <v>2</v>
      </c>
      <c r="BK6" s="11">
        <v>16246233</v>
      </c>
      <c r="BL6" s="11">
        <v>8274474</v>
      </c>
      <c r="BM6" s="11"/>
      <c r="BN6" s="49">
        <v>0.1648</v>
      </c>
      <c r="BO6" s="11"/>
      <c r="BP6" s="11"/>
      <c r="BQ6" s="11"/>
      <c r="BR6" s="11"/>
      <c r="BS6" s="49"/>
      <c r="BT6" s="11"/>
      <c r="BU6" s="23"/>
      <c r="BV6" s="23"/>
      <c r="BW6" s="23"/>
      <c r="BX6" s="49"/>
      <c r="BY6" s="23"/>
      <c r="BZ6" s="123">
        <v>96.57</v>
      </c>
      <c r="CA6" s="124">
        <v>9.3800000000000008</v>
      </c>
      <c r="CB6" s="125">
        <v>101.93</v>
      </c>
      <c r="CC6" s="49">
        <v>6.8999999999999999E-3</v>
      </c>
      <c r="CD6" s="11">
        <v>70</v>
      </c>
      <c r="CE6" s="23">
        <v>164.03</v>
      </c>
      <c r="CF6" s="23">
        <v>413.77</v>
      </c>
      <c r="CG6" s="23">
        <v>2724.72</v>
      </c>
      <c r="CH6" s="49">
        <v>5.96E-2</v>
      </c>
      <c r="CI6" s="23"/>
      <c r="CJ6" s="23"/>
      <c r="CK6" s="23"/>
      <c r="CL6" s="23"/>
      <c r="CM6" s="49"/>
      <c r="CN6" s="11">
        <v>1</v>
      </c>
      <c r="CO6" s="23"/>
      <c r="CP6" s="23"/>
      <c r="CQ6" s="23">
        <v>97.85</v>
      </c>
      <c r="CR6" s="49">
        <v>9.0200000000000002E-2</v>
      </c>
      <c r="CS6" s="11">
        <v>118</v>
      </c>
      <c r="CT6" s="23">
        <v>756.2</v>
      </c>
      <c r="CU6" s="23">
        <v>47.72</v>
      </c>
      <c r="CV6" s="23">
        <v>984.1</v>
      </c>
      <c r="CW6" s="49">
        <v>0.1196</v>
      </c>
      <c r="CX6" s="11">
        <v>2</v>
      </c>
      <c r="CY6" s="23">
        <v>-2.1</v>
      </c>
      <c r="CZ6" s="23"/>
      <c r="DA6" s="23">
        <v>2.7</v>
      </c>
      <c r="DB6" s="49"/>
      <c r="DC6" s="11">
        <v>3</v>
      </c>
      <c r="DD6" s="23">
        <v>3250.75</v>
      </c>
      <c r="DE6" s="23">
        <v>561.03</v>
      </c>
      <c r="DF6" s="23"/>
      <c r="DG6" s="49">
        <v>0.17829999999999999</v>
      </c>
      <c r="DH6" s="11">
        <v>2</v>
      </c>
      <c r="DI6" s="23">
        <v>3495.23</v>
      </c>
      <c r="DJ6" s="23">
        <v>811.61</v>
      </c>
      <c r="DK6" s="23"/>
      <c r="DL6" s="49">
        <v>9.69E-2</v>
      </c>
      <c r="DM6" s="23">
        <v>6</v>
      </c>
      <c r="DN6" s="23">
        <v>2209.2800000000002</v>
      </c>
      <c r="DO6" s="23">
        <v>156.94999999999999</v>
      </c>
      <c r="DP6" s="23">
        <v>4.55</v>
      </c>
      <c r="DQ6" s="49">
        <v>1.018</v>
      </c>
      <c r="DR6" s="11"/>
      <c r="DS6" s="11"/>
      <c r="DT6" s="23"/>
      <c r="DU6" s="23"/>
      <c r="DV6" s="49"/>
      <c r="DW6" s="11">
        <v>26</v>
      </c>
      <c r="DX6" s="11">
        <v>7160</v>
      </c>
      <c r="DY6" s="11">
        <v>2174</v>
      </c>
      <c r="DZ6" s="11">
        <v>607</v>
      </c>
      <c r="EA6" s="49">
        <v>0.43109999999999998</v>
      </c>
      <c r="EB6" s="11">
        <v>3</v>
      </c>
      <c r="EC6" s="23">
        <v>1.99</v>
      </c>
      <c r="ED6" s="23">
        <v>11</v>
      </c>
      <c r="EE6" s="23">
        <v>8.42</v>
      </c>
      <c r="EF6" s="49">
        <v>1.1599999999999999E-2</v>
      </c>
      <c r="EG6" s="11">
        <v>14</v>
      </c>
      <c r="EH6" s="11">
        <v>23865</v>
      </c>
      <c r="EI6" s="11">
        <v>2678</v>
      </c>
      <c r="EJ6" s="11">
        <v>132</v>
      </c>
      <c r="EK6" s="49">
        <v>0.8004</v>
      </c>
    </row>
    <row r="7" spans="1:141" x14ac:dyDescent="0.25">
      <c r="A7" s="23" t="s">
        <v>181</v>
      </c>
      <c r="B7" s="11">
        <v>26</v>
      </c>
      <c r="C7" s="23">
        <v>34414.559999999998</v>
      </c>
      <c r="D7" s="23">
        <v>3779.18</v>
      </c>
      <c r="E7" s="23"/>
      <c r="F7" s="49">
        <v>0.29530000000000001</v>
      </c>
      <c r="G7" s="11">
        <v>1</v>
      </c>
      <c r="H7" s="11">
        <v>231</v>
      </c>
      <c r="I7" s="11">
        <v>24</v>
      </c>
      <c r="J7" s="23"/>
      <c r="K7" s="49">
        <v>0.01</v>
      </c>
      <c r="L7" s="11">
        <v>57</v>
      </c>
      <c r="M7" s="11">
        <v>16758</v>
      </c>
      <c r="N7" s="11">
        <v>2472</v>
      </c>
      <c r="O7" s="11">
        <v>3690</v>
      </c>
      <c r="P7" s="96">
        <v>0.52</v>
      </c>
      <c r="Q7" s="11">
        <v>22</v>
      </c>
      <c r="R7" s="23">
        <v>952.17</v>
      </c>
      <c r="S7" s="23">
        <v>401.8</v>
      </c>
      <c r="T7" s="23">
        <v>812.2</v>
      </c>
      <c r="U7" s="49">
        <v>0.43569999999999998</v>
      </c>
      <c r="V7" s="23"/>
      <c r="W7" s="23">
        <v>4641.5200000000004</v>
      </c>
      <c r="X7" s="23">
        <v>53.91</v>
      </c>
      <c r="Y7" s="23">
        <v>1572.14</v>
      </c>
      <c r="Z7" s="49">
        <v>0.48349999999999999</v>
      </c>
      <c r="AA7" s="11">
        <v>2</v>
      </c>
      <c r="AB7" s="23">
        <v>910.02</v>
      </c>
      <c r="AC7" s="23"/>
      <c r="AD7" s="23">
        <v>6.28</v>
      </c>
      <c r="AE7" s="49">
        <v>1</v>
      </c>
      <c r="AF7" s="11">
        <v>6</v>
      </c>
      <c r="AG7" s="23">
        <v>5560.3</v>
      </c>
      <c r="AH7" s="23"/>
      <c r="AI7" s="23"/>
      <c r="AJ7" s="49">
        <v>0.49740000000000001</v>
      </c>
      <c r="AK7" s="11">
        <v>66</v>
      </c>
      <c r="AL7" s="23">
        <v>1903.04</v>
      </c>
      <c r="AM7" s="23">
        <v>495.03</v>
      </c>
      <c r="AN7" s="23">
        <v>2093.83</v>
      </c>
      <c r="AO7" s="49">
        <v>0.28870000000000001</v>
      </c>
      <c r="AP7" s="23">
        <v>31</v>
      </c>
      <c r="AQ7" s="23">
        <v>2020.94</v>
      </c>
      <c r="AR7" s="23">
        <v>425.52</v>
      </c>
      <c r="AS7" s="23">
        <v>161.29</v>
      </c>
      <c r="AT7" s="96">
        <v>0.79</v>
      </c>
      <c r="AU7" s="11">
        <v>85</v>
      </c>
      <c r="AV7" s="11">
        <v>158199</v>
      </c>
      <c r="AW7" s="11">
        <v>8483</v>
      </c>
      <c r="AX7" s="11">
        <v>28136</v>
      </c>
      <c r="AY7" s="49">
        <v>0.68120000000000003</v>
      </c>
      <c r="AZ7" s="11">
        <v>161</v>
      </c>
      <c r="BA7" s="11">
        <v>33762</v>
      </c>
      <c r="BB7" s="11">
        <v>2619</v>
      </c>
      <c r="BC7" s="11">
        <v>23576</v>
      </c>
      <c r="BD7" s="49">
        <v>0.76</v>
      </c>
      <c r="BE7" s="11">
        <v>2</v>
      </c>
      <c r="BF7" s="23"/>
      <c r="BG7" s="23">
        <v>8.82</v>
      </c>
      <c r="BH7" s="23"/>
      <c r="BI7" s="96">
        <v>0.22</v>
      </c>
      <c r="BJ7" s="11">
        <v>10</v>
      </c>
      <c r="BK7" s="11">
        <v>108993176</v>
      </c>
      <c r="BL7" s="11">
        <v>15415280</v>
      </c>
      <c r="BM7" s="11">
        <v>-220494</v>
      </c>
      <c r="BN7" s="49">
        <v>0.83489999999999998</v>
      </c>
      <c r="BO7" s="11">
        <v>16</v>
      </c>
      <c r="BP7" s="11">
        <v>2</v>
      </c>
      <c r="BQ7" s="11">
        <v>22</v>
      </c>
      <c r="BR7" s="11">
        <v>2455</v>
      </c>
      <c r="BS7" s="49">
        <v>0.69</v>
      </c>
      <c r="BT7" s="11">
        <v>5</v>
      </c>
      <c r="BU7" s="23">
        <v>2429.37</v>
      </c>
      <c r="BV7" s="23">
        <v>16.27</v>
      </c>
      <c r="BW7" s="23"/>
      <c r="BX7" s="49">
        <v>1</v>
      </c>
      <c r="BY7" s="23"/>
      <c r="BZ7" s="123">
        <v>44.5</v>
      </c>
      <c r="CA7" s="124">
        <v>942.79</v>
      </c>
      <c r="CB7" s="125">
        <v>1526.92</v>
      </c>
      <c r="CC7" s="49">
        <v>8.3900000000000002E-2</v>
      </c>
      <c r="CD7" s="11">
        <v>157</v>
      </c>
      <c r="CE7" s="23">
        <v>25398.77</v>
      </c>
      <c r="CF7" s="23">
        <v>1135.3399999999999</v>
      </c>
      <c r="CG7" s="23">
        <v>19972.91</v>
      </c>
      <c r="CH7" s="49">
        <v>0.83930000000000005</v>
      </c>
      <c r="CI7" s="23"/>
      <c r="CJ7" s="23"/>
      <c r="CK7" s="23"/>
      <c r="CL7" s="23"/>
      <c r="CM7" s="49"/>
      <c r="CN7" s="11">
        <v>7</v>
      </c>
      <c r="CO7" s="23">
        <v>145.91</v>
      </c>
      <c r="CP7" s="23">
        <v>655.68</v>
      </c>
      <c r="CQ7" s="23">
        <v>185.21</v>
      </c>
      <c r="CR7" s="49">
        <v>0.90980000000000005</v>
      </c>
      <c r="CS7" s="11">
        <v>39</v>
      </c>
      <c r="CT7" s="23">
        <v>15013.5</v>
      </c>
      <c r="CU7" s="23">
        <v>430.84</v>
      </c>
      <c r="CV7" s="23">
        <v>-4205.6400000000003</v>
      </c>
      <c r="CW7" s="49">
        <v>0.75180000000000002</v>
      </c>
      <c r="CX7" s="11">
        <v>3</v>
      </c>
      <c r="CY7" s="23">
        <v>12943.1</v>
      </c>
      <c r="CZ7" s="23">
        <v>93.7</v>
      </c>
      <c r="DA7" s="23">
        <v>3</v>
      </c>
      <c r="DB7" s="49">
        <v>0.90800000000000003</v>
      </c>
      <c r="DC7" s="11">
        <v>17</v>
      </c>
      <c r="DD7" s="23">
        <v>4789.58</v>
      </c>
      <c r="DE7" s="23">
        <v>1016.61</v>
      </c>
      <c r="DF7" s="23">
        <v>953.65</v>
      </c>
      <c r="DG7" s="49">
        <v>0.31630000000000003</v>
      </c>
      <c r="DH7" s="11">
        <v>77</v>
      </c>
      <c r="DI7" s="23">
        <v>13242.48</v>
      </c>
      <c r="DJ7" s="23">
        <v>1478.37</v>
      </c>
      <c r="DK7" s="23">
        <v>615.91999999999996</v>
      </c>
      <c r="DL7" s="49">
        <v>0.34499999999999997</v>
      </c>
      <c r="DM7" s="23">
        <v>6</v>
      </c>
      <c r="DN7" s="23">
        <v>-28.3</v>
      </c>
      <c r="DO7" s="23">
        <v>39.119999999999997</v>
      </c>
      <c r="DP7" s="23">
        <v>9.7200000000000006</v>
      </c>
      <c r="DQ7" s="49">
        <v>8.8000000000000005E-3</v>
      </c>
      <c r="DR7" s="11"/>
      <c r="DS7" s="11"/>
      <c r="DT7" s="23"/>
      <c r="DU7" s="23"/>
      <c r="DV7" s="49"/>
      <c r="DW7" s="11">
        <v>88</v>
      </c>
      <c r="DX7" s="11">
        <v>8391</v>
      </c>
      <c r="DY7" s="11">
        <v>2249</v>
      </c>
      <c r="DZ7" s="11">
        <v>2441</v>
      </c>
      <c r="EA7" s="49">
        <v>0.56730000000000003</v>
      </c>
      <c r="EB7" s="11">
        <v>172</v>
      </c>
      <c r="EC7" s="23">
        <v>105.77</v>
      </c>
      <c r="ED7" s="23">
        <v>127.5</v>
      </c>
      <c r="EE7" s="23">
        <v>311.79000000000002</v>
      </c>
      <c r="EF7" s="49">
        <v>0.29980000000000001</v>
      </c>
      <c r="EG7" s="11">
        <v>22</v>
      </c>
      <c r="EH7" s="11">
        <v>1676</v>
      </c>
      <c r="EI7" s="11">
        <v>956</v>
      </c>
      <c r="EJ7" s="11">
        <v>3566</v>
      </c>
      <c r="EK7" s="49">
        <v>0.186</v>
      </c>
    </row>
    <row r="8" spans="1:141" x14ac:dyDescent="0.25">
      <c r="A8" s="23" t="s">
        <v>182</v>
      </c>
      <c r="B8" s="11">
        <v>1</v>
      </c>
      <c r="C8" s="23">
        <v>1.87</v>
      </c>
      <c r="D8" s="23"/>
      <c r="E8" s="23"/>
      <c r="F8" s="49">
        <v>1E-4</v>
      </c>
      <c r="G8" s="11">
        <v>3</v>
      </c>
      <c r="H8" s="11">
        <v>24007</v>
      </c>
      <c r="I8" s="11">
        <v>129</v>
      </c>
      <c r="J8" s="23"/>
      <c r="K8" s="49">
        <v>0.99</v>
      </c>
      <c r="L8" s="11">
        <v>20</v>
      </c>
      <c r="M8" s="11"/>
      <c r="N8" s="11"/>
      <c r="O8" s="11">
        <v>3136</v>
      </c>
      <c r="P8" s="96">
        <v>7.0000000000000007E-2</v>
      </c>
      <c r="Q8" s="11">
        <v>6</v>
      </c>
      <c r="R8" s="23">
        <v>132.18</v>
      </c>
      <c r="S8" s="23">
        <v>197.1</v>
      </c>
      <c r="T8" s="23"/>
      <c r="U8" s="49">
        <v>6.6199999999999995E-2</v>
      </c>
      <c r="V8" s="23"/>
      <c r="W8" s="23"/>
      <c r="X8" s="23"/>
      <c r="Y8" s="23"/>
      <c r="Z8" s="49"/>
      <c r="AA8" s="11"/>
      <c r="AB8" s="23"/>
      <c r="AC8" s="23"/>
      <c r="AD8" s="23"/>
      <c r="AE8" s="49"/>
      <c r="AF8" s="11">
        <v>3</v>
      </c>
      <c r="AG8" s="23">
        <v>5614.91</v>
      </c>
      <c r="AH8" s="23"/>
      <c r="AI8" s="23"/>
      <c r="AJ8" s="49">
        <v>0.50229999999999997</v>
      </c>
      <c r="AK8" s="11">
        <v>14</v>
      </c>
      <c r="AL8" s="23">
        <v>9898.75</v>
      </c>
      <c r="AM8" s="23">
        <v>89.57</v>
      </c>
      <c r="AN8" s="23">
        <v>50.62</v>
      </c>
      <c r="AO8" s="49">
        <v>0.6452</v>
      </c>
      <c r="AP8" s="23">
        <v>5</v>
      </c>
      <c r="AQ8" s="23">
        <v>138.33000000000001</v>
      </c>
      <c r="AR8" s="23">
        <v>49.31</v>
      </c>
      <c r="AS8" s="23"/>
      <c r="AT8" s="96">
        <v>0.06</v>
      </c>
      <c r="AU8" s="11">
        <v>9</v>
      </c>
      <c r="AV8" s="11">
        <v>762</v>
      </c>
      <c r="AW8" s="11">
        <v>98</v>
      </c>
      <c r="AX8" s="11">
        <v>102</v>
      </c>
      <c r="AY8" s="49">
        <v>3.3999999999999998E-3</v>
      </c>
      <c r="AZ8" s="11">
        <v>40</v>
      </c>
      <c r="BA8" s="11">
        <v>3045</v>
      </c>
      <c r="BB8" s="11">
        <v>452</v>
      </c>
      <c r="BC8" s="11">
        <v>322</v>
      </c>
      <c r="BD8" s="49">
        <v>0.05</v>
      </c>
      <c r="BE8" s="11">
        <v>2</v>
      </c>
      <c r="BF8" s="23">
        <v>18.54</v>
      </c>
      <c r="BG8" s="23">
        <v>13.23</v>
      </c>
      <c r="BH8" s="23"/>
      <c r="BI8" s="96">
        <v>0.78</v>
      </c>
      <c r="BJ8" s="11">
        <v>1</v>
      </c>
      <c r="BK8" s="11">
        <v>40163</v>
      </c>
      <c r="BL8" s="11"/>
      <c r="BM8" s="11"/>
      <c r="BN8" s="49">
        <v>2.9999999999999997E-4</v>
      </c>
      <c r="BO8" s="11">
        <v>10</v>
      </c>
      <c r="BP8" s="11">
        <v>767</v>
      </c>
      <c r="BQ8" s="11">
        <v>166</v>
      </c>
      <c r="BR8" s="11">
        <v>2</v>
      </c>
      <c r="BS8" s="49">
        <v>0.26</v>
      </c>
      <c r="BT8" s="11"/>
      <c r="BU8" s="23"/>
      <c r="BV8" s="23"/>
      <c r="BW8" s="23"/>
      <c r="BX8" s="49"/>
      <c r="BY8" s="23"/>
      <c r="BZ8" s="123">
        <v>18890.13</v>
      </c>
      <c r="CA8" s="124">
        <v>213.41</v>
      </c>
      <c r="CB8" s="125">
        <v>5639.61</v>
      </c>
      <c r="CC8" s="49">
        <v>0.82579999999999998</v>
      </c>
      <c r="CD8" s="11">
        <v>5</v>
      </c>
      <c r="CE8" s="23">
        <v>2613.29</v>
      </c>
      <c r="CF8" s="23">
        <v>114.6</v>
      </c>
      <c r="CG8" s="23">
        <v>733.4</v>
      </c>
      <c r="CH8" s="49">
        <v>6.25E-2</v>
      </c>
      <c r="CI8" s="23"/>
      <c r="CJ8" s="23"/>
      <c r="CK8" s="23"/>
      <c r="CL8" s="23"/>
      <c r="CM8" s="49"/>
      <c r="CN8" s="11"/>
      <c r="CO8" s="23"/>
      <c r="CP8" s="23"/>
      <c r="CQ8" s="23"/>
      <c r="CR8" s="49"/>
      <c r="CS8" s="11">
        <v>16</v>
      </c>
      <c r="CT8" s="23">
        <v>674.72</v>
      </c>
      <c r="CU8" s="23">
        <v>210.56</v>
      </c>
      <c r="CV8" s="23">
        <v>13.42</v>
      </c>
      <c r="CW8" s="49">
        <v>6.0100000000000001E-2</v>
      </c>
      <c r="CX8" s="11">
        <v>1</v>
      </c>
      <c r="CY8" s="23">
        <v>1.8</v>
      </c>
      <c r="CZ8" s="23"/>
      <c r="DA8" s="23"/>
      <c r="DB8" s="49"/>
      <c r="DC8" s="11">
        <v>3</v>
      </c>
      <c r="DD8" s="23">
        <v>10109.08</v>
      </c>
      <c r="DE8" s="23">
        <v>486.7</v>
      </c>
      <c r="DF8" s="23">
        <v>205.63</v>
      </c>
      <c r="DG8" s="49">
        <v>0.50539999999999996</v>
      </c>
      <c r="DH8" s="11">
        <v>11</v>
      </c>
      <c r="DI8" s="23">
        <v>19988.330000000002</v>
      </c>
      <c r="DJ8" s="23">
        <v>2595.79</v>
      </c>
      <c r="DK8" s="23">
        <v>1358.46</v>
      </c>
      <c r="DL8" s="49">
        <v>0.53859999999999997</v>
      </c>
      <c r="DM8" s="23">
        <v>6</v>
      </c>
      <c r="DN8" s="23">
        <v>-126.9</v>
      </c>
      <c r="DO8" s="23">
        <v>58.69</v>
      </c>
      <c r="DP8" s="23">
        <v>7.78</v>
      </c>
      <c r="DQ8" s="49">
        <v>-2.5899999999999999E-2</v>
      </c>
      <c r="DR8" s="11">
        <v>1</v>
      </c>
      <c r="DS8" s="11">
        <v>46789</v>
      </c>
      <c r="DT8" s="23"/>
      <c r="DU8" s="23"/>
      <c r="DV8" s="49">
        <v>1</v>
      </c>
      <c r="DW8" s="11"/>
      <c r="DX8" s="11"/>
      <c r="DY8" s="11"/>
      <c r="DZ8" s="11"/>
      <c r="EA8" s="49"/>
      <c r="EB8" s="11">
        <v>20</v>
      </c>
      <c r="EC8" s="23">
        <v>45.03</v>
      </c>
      <c r="ED8" s="23">
        <v>37.770000000000003</v>
      </c>
      <c r="EE8" s="23">
        <v>21.72</v>
      </c>
      <c r="EF8" s="49">
        <v>5.7500000000000002E-2</v>
      </c>
      <c r="EG8" s="11">
        <v>2</v>
      </c>
      <c r="EH8" s="11">
        <v>215</v>
      </c>
      <c r="EI8" s="11">
        <v>118</v>
      </c>
      <c r="EJ8" s="11"/>
      <c r="EK8" s="49">
        <v>0.01</v>
      </c>
    </row>
    <row r="9" spans="1:141" x14ac:dyDescent="0.25">
      <c r="A9" s="23" t="s">
        <v>183</v>
      </c>
      <c r="B9" s="11"/>
      <c r="C9" s="23"/>
      <c r="D9" s="23"/>
      <c r="E9" s="23"/>
      <c r="F9" s="49"/>
      <c r="G9" s="11"/>
      <c r="H9" s="11"/>
      <c r="I9" s="11"/>
      <c r="J9" s="23"/>
      <c r="K9" s="49"/>
      <c r="L9" s="11"/>
      <c r="M9" s="11"/>
      <c r="N9" s="11"/>
      <c r="O9" s="11"/>
      <c r="P9" s="96"/>
      <c r="Q9" s="11"/>
      <c r="R9" s="23"/>
      <c r="S9" s="23"/>
      <c r="T9" s="23"/>
      <c r="U9" s="49"/>
      <c r="V9" s="23"/>
      <c r="W9" s="23">
        <v>0.78</v>
      </c>
      <c r="X9" s="23"/>
      <c r="Y9" s="23"/>
      <c r="Z9" s="49">
        <v>1E-4</v>
      </c>
      <c r="AA9" s="11"/>
      <c r="AB9" s="23"/>
      <c r="AC9" s="23"/>
      <c r="AD9" s="23"/>
      <c r="AE9" s="49"/>
      <c r="AF9" s="11">
        <v>2</v>
      </c>
      <c r="AG9" s="23">
        <v>2.8</v>
      </c>
      <c r="AH9" s="23"/>
      <c r="AI9" s="23"/>
      <c r="AJ9" s="49">
        <v>2.9999999999999997E-4</v>
      </c>
      <c r="AK9" s="11"/>
      <c r="AL9" s="23"/>
      <c r="AM9" s="23"/>
      <c r="AN9" s="23"/>
      <c r="AO9" s="23"/>
      <c r="AP9" s="23"/>
      <c r="AQ9" s="23"/>
      <c r="AR9" s="23"/>
      <c r="AS9" s="23"/>
      <c r="AT9" s="96"/>
      <c r="AU9" s="11">
        <v>3</v>
      </c>
      <c r="AV9" s="11">
        <v>75</v>
      </c>
      <c r="AW9" s="11">
        <v>1</v>
      </c>
      <c r="AX9" s="11"/>
      <c r="AY9" s="49">
        <v>2.9999999999999997E-4</v>
      </c>
      <c r="AZ9" s="11"/>
      <c r="BA9" s="11"/>
      <c r="BB9" s="11"/>
      <c r="BC9" s="11"/>
      <c r="BD9" s="49"/>
      <c r="BE9" s="11"/>
      <c r="BF9" s="23"/>
      <c r="BG9" s="23"/>
      <c r="BH9" s="23"/>
      <c r="BI9" s="96"/>
      <c r="BJ9" s="11"/>
      <c r="BK9" s="11"/>
      <c r="BL9" s="11"/>
      <c r="BM9" s="11"/>
      <c r="BN9" s="49"/>
      <c r="BO9" s="11">
        <v>7</v>
      </c>
      <c r="BP9" s="11">
        <v>137</v>
      </c>
      <c r="BQ9" s="11">
        <v>43</v>
      </c>
      <c r="BR9" s="11"/>
      <c r="BS9" s="49">
        <v>0.05</v>
      </c>
      <c r="BT9" s="11"/>
      <c r="BU9" s="23"/>
      <c r="BV9" s="23"/>
      <c r="BW9" s="23"/>
      <c r="BX9" s="49"/>
      <c r="BY9" s="23"/>
      <c r="BZ9" s="123">
        <v>1378.22</v>
      </c>
      <c r="CA9" s="124">
        <v>95.1</v>
      </c>
      <c r="CB9" s="125">
        <v>1.32</v>
      </c>
      <c r="CC9" s="49">
        <v>4.9200000000000001E-2</v>
      </c>
      <c r="CD9" s="11"/>
      <c r="CE9" s="23"/>
      <c r="CF9" s="23"/>
      <c r="CG9" s="23"/>
      <c r="CH9" s="49"/>
      <c r="CI9" s="23"/>
      <c r="CJ9" s="23"/>
      <c r="CK9" s="23"/>
      <c r="CL9" s="23"/>
      <c r="CM9" s="49"/>
      <c r="CN9" s="11"/>
      <c r="CO9" s="23"/>
      <c r="CP9" s="23"/>
      <c r="CQ9" s="23"/>
      <c r="CR9" s="49"/>
      <c r="CS9" s="11">
        <v>2</v>
      </c>
      <c r="CT9" s="23">
        <v>5.04</v>
      </c>
      <c r="CU9" s="23">
        <v>0.04</v>
      </c>
      <c r="CV9" s="23"/>
      <c r="CW9" s="49">
        <v>2.9999999999999997E-4</v>
      </c>
      <c r="CX9" s="11">
        <v>1</v>
      </c>
      <c r="CY9" s="23"/>
      <c r="CZ9" s="23"/>
      <c r="DA9" s="23">
        <v>1322.7</v>
      </c>
      <c r="DB9" s="49">
        <v>9.1999999999999998E-2</v>
      </c>
      <c r="DC9" s="11"/>
      <c r="DD9" s="23"/>
      <c r="DE9" s="23"/>
      <c r="DF9" s="23"/>
      <c r="DG9" s="49"/>
      <c r="DH9" s="11">
        <v>1</v>
      </c>
      <c r="DI9" s="23"/>
      <c r="DJ9" s="23"/>
      <c r="DK9" s="23">
        <v>17.98</v>
      </c>
      <c r="DL9" s="49">
        <v>4.0000000000000002E-4</v>
      </c>
      <c r="DM9" s="23">
        <v>1</v>
      </c>
      <c r="DN9" s="23">
        <v>-12.4</v>
      </c>
      <c r="DO9" s="23">
        <v>6.07</v>
      </c>
      <c r="DP9" s="23">
        <v>4.12</v>
      </c>
      <c r="DQ9" s="49">
        <v>-2.7000000000000001E-3</v>
      </c>
      <c r="DR9" s="11"/>
      <c r="DS9" s="11"/>
      <c r="DT9" s="23"/>
      <c r="DU9" s="23"/>
      <c r="DV9" s="49"/>
      <c r="DW9" s="11"/>
      <c r="DX9" s="11"/>
      <c r="DY9" s="11"/>
      <c r="DZ9" s="11"/>
      <c r="EA9" s="49"/>
      <c r="EB9" s="11">
        <v>6</v>
      </c>
      <c r="EC9" s="23">
        <v>24.8</v>
      </c>
      <c r="ED9" s="23">
        <v>4.4800000000000004</v>
      </c>
      <c r="EE9" s="23">
        <v>0.75</v>
      </c>
      <c r="EF9" s="49">
        <v>1.6500000000000001E-2</v>
      </c>
      <c r="EG9" s="11">
        <v>6</v>
      </c>
      <c r="EH9" s="11">
        <v>98</v>
      </c>
      <c r="EI9" s="11">
        <v>20</v>
      </c>
      <c r="EJ9" s="11">
        <v>1</v>
      </c>
      <c r="EK9" s="49">
        <v>3.5999999999999999E-3</v>
      </c>
    </row>
    <row r="10" spans="1:141" ht="30" x14ac:dyDescent="0.25">
      <c r="A10" s="24" t="s">
        <v>184</v>
      </c>
      <c r="B10" s="11"/>
      <c r="C10" s="23"/>
      <c r="D10" s="23"/>
      <c r="E10" s="23"/>
      <c r="F10" s="49"/>
      <c r="G10" s="11"/>
      <c r="H10" s="11"/>
      <c r="I10" s="11"/>
      <c r="J10" s="23"/>
      <c r="K10" s="49"/>
      <c r="L10" s="11"/>
      <c r="M10" s="11"/>
      <c r="N10" s="11"/>
      <c r="O10" s="11"/>
      <c r="P10" s="96"/>
      <c r="Q10" s="11">
        <v>13</v>
      </c>
      <c r="R10" s="23">
        <v>1934.13</v>
      </c>
      <c r="S10" s="23">
        <v>149.72999999999999</v>
      </c>
      <c r="T10" s="23">
        <v>317.89999999999998</v>
      </c>
      <c r="U10" s="49">
        <v>0.48309999999999997</v>
      </c>
      <c r="V10" s="23"/>
      <c r="W10" s="23">
        <v>5847.18</v>
      </c>
      <c r="X10" s="23">
        <v>29.84</v>
      </c>
      <c r="Y10" s="23">
        <v>319.08999999999997</v>
      </c>
      <c r="Z10" s="49">
        <v>0.47799999999999998</v>
      </c>
      <c r="AA10" s="11"/>
      <c r="AB10" s="23"/>
      <c r="AC10" s="23"/>
      <c r="AD10" s="23"/>
      <c r="AE10" s="49"/>
      <c r="AF10" s="11"/>
      <c r="AG10" s="23"/>
      <c r="AH10" s="23"/>
      <c r="AI10" s="23"/>
      <c r="AJ10" s="49"/>
      <c r="AK10" s="11"/>
      <c r="AL10" s="23"/>
      <c r="AM10" s="23"/>
      <c r="AN10" s="23"/>
      <c r="AO10" s="23"/>
      <c r="AP10" s="23">
        <v>7</v>
      </c>
      <c r="AQ10" s="23"/>
      <c r="AR10" s="23"/>
      <c r="AS10" s="23">
        <v>111.17</v>
      </c>
      <c r="AT10" s="96">
        <v>0.03</v>
      </c>
      <c r="AU10" s="11">
        <v>14</v>
      </c>
      <c r="AV10" s="11"/>
      <c r="AW10" s="11"/>
      <c r="AX10" s="11">
        <v>14416</v>
      </c>
      <c r="AY10" s="49">
        <v>5.04E-2</v>
      </c>
      <c r="AZ10" s="11"/>
      <c r="BA10" s="11"/>
      <c r="BB10" s="11"/>
      <c r="BC10" s="11"/>
      <c r="BD10" s="49"/>
      <c r="BE10" s="11"/>
      <c r="BF10" s="23"/>
      <c r="BG10" s="23"/>
      <c r="BH10" s="23"/>
      <c r="BI10" s="96"/>
      <c r="BJ10" s="11"/>
      <c r="BK10" s="11"/>
      <c r="BL10" s="11"/>
      <c r="BM10" s="11"/>
      <c r="BN10" s="49"/>
      <c r="BO10" s="11"/>
      <c r="BP10" s="11"/>
      <c r="BQ10" s="11"/>
      <c r="BR10" s="11"/>
      <c r="BS10" s="49"/>
      <c r="BT10" s="11"/>
      <c r="BU10" s="23"/>
      <c r="BV10" s="23"/>
      <c r="BW10" s="23"/>
      <c r="BX10" s="49"/>
      <c r="BY10" s="23"/>
      <c r="BZ10" s="23"/>
      <c r="CA10" s="23"/>
      <c r="CB10" s="23"/>
      <c r="CC10" s="49"/>
      <c r="CD10" s="11"/>
      <c r="CE10" s="23"/>
      <c r="CF10" s="23"/>
      <c r="CG10" s="23"/>
      <c r="CH10" s="49"/>
      <c r="CI10" s="23"/>
      <c r="CJ10" s="23"/>
      <c r="CK10" s="23"/>
      <c r="CL10" s="23"/>
      <c r="CM10" s="49"/>
      <c r="CN10" s="11"/>
      <c r="CO10" s="23"/>
      <c r="CP10" s="23"/>
      <c r="CQ10" s="23"/>
      <c r="CR10" s="49"/>
      <c r="CS10" s="11"/>
      <c r="CT10" s="23"/>
      <c r="CU10" s="23"/>
      <c r="CV10" s="23"/>
      <c r="CW10" s="49"/>
      <c r="CX10" s="11"/>
      <c r="CY10" s="23"/>
      <c r="CZ10" s="23"/>
      <c r="DA10" s="23"/>
      <c r="DB10" s="49"/>
      <c r="DC10" s="11"/>
      <c r="DD10" s="23"/>
      <c r="DE10" s="23"/>
      <c r="DF10" s="23"/>
      <c r="DG10" s="49"/>
      <c r="DH10" s="11">
        <v>12</v>
      </c>
      <c r="DI10" s="23"/>
      <c r="DJ10" s="23"/>
      <c r="DK10" s="23">
        <v>591.19000000000005</v>
      </c>
      <c r="DL10" s="49">
        <v>1.3299999999999999E-2</v>
      </c>
      <c r="DM10" s="23"/>
      <c r="DN10" s="23"/>
      <c r="DO10" s="23"/>
      <c r="DP10" s="23"/>
      <c r="DQ10" s="49"/>
      <c r="DR10" s="11"/>
      <c r="DS10" s="11"/>
      <c r="DT10" s="23"/>
      <c r="DU10" s="23"/>
      <c r="DV10" s="49"/>
      <c r="DW10" s="11"/>
      <c r="DX10" s="11"/>
      <c r="DY10" s="11"/>
      <c r="DZ10" s="11"/>
      <c r="EA10" s="49"/>
      <c r="EB10" s="11">
        <v>16</v>
      </c>
      <c r="EC10" s="23">
        <v>935.34</v>
      </c>
      <c r="ED10" s="23">
        <v>125.82</v>
      </c>
      <c r="EE10" s="23">
        <v>52.78</v>
      </c>
      <c r="EF10" s="49">
        <v>0.61280000000000001</v>
      </c>
      <c r="EG10" s="11"/>
      <c r="EH10" s="11"/>
      <c r="EI10" s="11"/>
      <c r="EJ10" s="11"/>
      <c r="EK10" s="49"/>
    </row>
    <row r="11" spans="1:141" x14ac:dyDescent="0.25">
      <c r="A11" s="24" t="s">
        <v>185</v>
      </c>
      <c r="B11" s="11"/>
      <c r="C11" s="23"/>
      <c r="D11" s="23"/>
      <c r="E11" s="23"/>
      <c r="F11" s="49"/>
      <c r="G11" s="11"/>
      <c r="H11" s="11"/>
      <c r="I11" s="11"/>
      <c r="J11" s="23"/>
      <c r="K11" s="49"/>
      <c r="L11" s="11"/>
      <c r="M11" s="11"/>
      <c r="N11" s="11"/>
      <c r="O11" s="11"/>
      <c r="P11" s="96"/>
      <c r="Q11" s="11"/>
      <c r="R11" s="23"/>
      <c r="S11" s="23"/>
      <c r="T11" s="23"/>
      <c r="U11" s="49"/>
      <c r="V11" s="23"/>
      <c r="W11" s="23"/>
      <c r="X11" s="23"/>
      <c r="Y11" s="23"/>
      <c r="Z11" s="49"/>
      <c r="AA11" s="11"/>
      <c r="AB11" s="23"/>
      <c r="AC11" s="23"/>
      <c r="AD11" s="23"/>
      <c r="AE11" s="49"/>
      <c r="AF11" s="11"/>
      <c r="AG11" s="23"/>
      <c r="AH11" s="23"/>
      <c r="AI11" s="23"/>
      <c r="AJ11" s="49"/>
      <c r="AK11" s="11"/>
      <c r="AL11" s="23"/>
      <c r="AM11" s="23"/>
      <c r="AN11" s="23"/>
      <c r="AO11" s="49"/>
      <c r="AP11" s="23"/>
      <c r="AQ11" s="23"/>
      <c r="AR11" s="23"/>
      <c r="AS11" s="23"/>
      <c r="AT11" s="96"/>
      <c r="AU11" s="11"/>
      <c r="AV11" s="11"/>
      <c r="AW11" s="11"/>
      <c r="AX11" s="11"/>
      <c r="AY11" s="49"/>
      <c r="AZ11" s="11"/>
      <c r="BA11" s="11"/>
      <c r="BB11" s="11"/>
      <c r="BC11" s="11"/>
      <c r="BD11" s="49"/>
      <c r="BE11" s="11"/>
      <c r="BF11" s="23"/>
      <c r="BG11" s="23"/>
      <c r="BH11" s="23"/>
      <c r="BI11" s="96"/>
      <c r="BJ11" s="11"/>
      <c r="BK11" s="11"/>
      <c r="BL11" s="11"/>
      <c r="BM11" s="11"/>
      <c r="BN11" s="49"/>
      <c r="BO11" s="11"/>
      <c r="BP11" s="11"/>
      <c r="BQ11" s="11"/>
      <c r="BR11" s="11"/>
      <c r="BS11" s="49"/>
      <c r="BT11" s="11"/>
      <c r="BU11" s="23"/>
      <c r="BV11" s="23"/>
      <c r="BW11" s="23"/>
      <c r="BX11" s="49"/>
      <c r="BY11" s="23"/>
      <c r="BZ11" s="23"/>
      <c r="CA11" s="23"/>
      <c r="CB11" s="23"/>
      <c r="CC11" s="49"/>
      <c r="CD11" s="11"/>
      <c r="CE11" s="23"/>
      <c r="CF11" s="23"/>
      <c r="CG11" s="23"/>
      <c r="CH11" s="49"/>
      <c r="CI11" s="23"/>
      <c r="CJ11" s="23"/>
      <c r="CK11" s="23"/>
      <c r="CL11" s="23"/>
      <c r="CM11" s="49"/>
      <c r="CN11" s="11"/>
      <c r="CO11" s="23"/>
      <c r="CP11" s="23"/>
      <c r="CQ11" s="23"/>
      <c r="CR11" s="49"/>
      <c r="CS11" s="11"/>
      <c r="CT11" s="23"/>
      <c r="CU11" s="23"/>
      <c r="CV11" s="23"/>
      <c r="CW11" s="49"/>
      <c r="CX11" s="11"/>
      <c r="CY11" s="23"/>
      <c r="CZ11" s="23"/>
      <c r="DA11" s="23"/>
      <c r="DB11" s="49"/>
      <c r="DC11" s="11"/>
      <c r="DD11" s="23"/>
      <c r="DE11" s="23"/>
      <c r="DF11" s="23"/>
      <c r="DG11" s="49"/>
      <c r="DH11" s="11"/>
      <c r="DI11" s="23"/>
      <c r="DJ11" s="23"/>
      <c r="DK11" s="23"/>
      <c r="DL11" s="23"/>
      <c r="DM11" s="23"/>
      <c r="DN11" s="23"/>
      <c r="DO11" s="23"/>
      <c r="DP11" s="23"/>
      <c r="DQ11" s="49"/>
      <c r="DR11" s="11"/>
      <c r="DS11" s="11"/>
      <c r="DT11" s="23"/>
      <c r="DU11" s="23"/>
      <c r="DV11" s="49"/>
      <c r="DW11" s="11"/>
      <c r="DX11" s="11"/>
      <c r="DY11" s="11"/>
      <c r="DZ11" s="11"/>
      <c r="EA11" s="49"/>
      <c r="EB11" s="11"/>
      <c r="EC11" s="23"/>
      <c r="ED11" s="23"/>
      <c r="EE11" s="23"/>
      <c r="EF11" s="49"/>
      <c r="EG11" s="11"/>
      <c r="EH11" s="11"/>
      <c r="EI11" s="11"/>
      <c r="EJ11" s="11"/>
      <c r="EK11" s="49"/>
    </row>
    <row r="12" spans="1:141" x14ac:dyDescent="0.25">
      <c r="A12" s="23" t="s">
        <v>186</v>
      </c>
      <c r="B12" s="11">
        <v>5</v>
      </c>
      <c r="C12" s="23">
        <v>73831.63</v>
      </c>
      <c r="D12" s="23"/>
      <c r="E12" s="23"/>
      <c r="F12" s="49">
        <v>0.57089999999999996</v>
      </c>
      <c r="G12" s="11"/>
      <c r="H12" s="11"/>
      <c r="I12" s="11"/>
      <c r="J12" s="23"/>
      <c r="K12" s="49"/>
      <c r="L12" s="11"/>
      <c r="M12" s="11"/>
      <c r="N12" s="11"/>
      <c r="O12" s="11"/>
      <c r="P12" s="96"/>
      <c r="Q12" s="11"/>
      <c r="R12" s="23"/>
      <c r="S12" s="23"/>
      <c r="T12" s="23"/>
      <c r="U12" s="49"/>
      <c r="V12" s="23"/>
      <c r="W12" s="23"/>
      <c r="X12" s="23"/>
      <c r="Y12" s="23"/>
      <c r="Z12" s="49"/>
      <c r="AA12" s="11"/>
      <c r="AB12" s="23"/>
      <c r="AC12" s="23"/>
      <c r="AD12" s="23"/>
      <c r="AE12" s="49"/>
      <c r="AF12" s="11"/>
      <c r="AG12" s="23"/>
      <c r="AH12" s="23"/>
      <c r="AI12" s="23"/>
      <c r="AJ12" s="49"/>
      <c r="AK12" s="11">
        <v>12</v>
      </c>
      <c r="AL12" s="23">
        <v>0.35</v>
      </c>
      <c r="AM12" s="23"/>
      <c r="AN12" s="23">
        <v>228.04</v>
      </c>
      <c r="AO12" s="23">
        <v>1.47</v>
      </c>
      <c r="AP12" s="23"/>
      <c r="AQ12" s="23"/>
      <c r="AR12" s="23"/>
      <c r="AS12" s="23"/>
      <c r="AT12" s="96"/>
      <c r="AU12" s="11"/>
      <c r="AV12" s="11"/>
      <c r="AW12" s="11"/>
      <c r="AX12" s="11"/>
      <c r="AY12" s="49"/>
      <c r="AZ12" s="11"/>
      <c r="BA12" s="11"/>
      <c r="BB12" s="11"/>
      <c r="BC12" s="11">
        <v>3597</v>
      </c>
      <c r="BD12" s="49">
        <v>0.04</v>
      </c>
      <c r="BE12" s="11"/>
      <c r="BF12" s="23"/>
      <c r="BG12" s="23"/>
      <c r="BH12" s="23"/>
      <c r="BI12" s="96"/>
      <c r="BJ12" s="11"/>
      <c r="BK12" s="11"/>
      <c r="BL12" s="11"/>
      <c r="BM12" s="11"/>
      <c r="BN12" s="49"/>
      <c r="BO12" s="11"/>
      <c r="BP12" s="11"/>
      <c r="BQ12" s="11"/>
      <c r="BR12" s="11"/>
      <c r="BS12" s="49"/>
      <c r="BT12" s="11"/>
      <c r="BU12" s="23"/>
      <c r="BV12" s="23"/>
      <c r="BW12" s="23"/>
      <c r="BX12" s="49"/>
      <c r="BY12" s="23"/>
      <c r="BZ12" s="23"/>
      <c r="CA12" s="23"/>
      <c r="CB12" s="23"/>
      <c r="CC12" s="49"/>
      <c r="CD12" s="11"/>
      <c r="CE12" s="23"/>
      <c r="CF12" s="23"/>
      <c r="CG12" s="23"/>
      <c r="CH12" s="49"/>
      <c r="CI12" s="23"/>
      <c r="CJ12" s="23"/>
      <c r="CK12" s="23"/>
      <c r="CL12" s="23"/>
      <c r="CM12" s="49"/>
      <c r="CN12" s="11"/>
      <c r="CO12" s="23"/>
      <c r="CP12" s="23"/>
      <c r="CQ12" s="23"/>
      <c r="CR12" s="49"/>
      <c r="CS12" s="11">
        <v>15</v>
      </c>
      <c r="CT12" s="23">
        <v>18.05</v>
      </c>
      <c r="CU12" s="23"/>
      <c r="CV12" s="23">
        <v>998.63</v>
      </c>
      <c r="CW12" s="49">
        <v>6.8000000000000005E-2</v>
      </c>
      <c r="CX12" s="11"/>
      <c r="CY12" s="23"/>
      <c r="CZ12" s="23"/>
      <c r="DA12" s="23"/>
      <c r="DB12" s="49"/>
      <c r="DC12" s="11"/>
      <c r="DD12" s="23"/>
      <c r="DE12" s="23"/>
      <c r="DF12" s="23"/>
      <c r="DG12" s="49"/>
      <c r="DH12" s="11"/>
      <c r="DI12" s="23"/>
      <c r="DJ12" s="23"/>
      <c r="DK12" s="23"/>
      <c r="DL12" s="49"/>
      <c r="DM12" s="23"/>
      <c r="DN12" s="23"/>
      <c r="DO12" s="23"/>
      <c r="DP12" s="23"/>
      <c r="DQ12" s="49"/>
      <c r="DR12" s="11"/>
      <c r="DS12" s="11"/>
      <c r="DT12" s="23"/>
      <c r="DU12" s="23"/>
      <c r="DV12" s="49"/>
      <c r="DW12" s="11">
        <v>3</v>
      </c>
      <c r="DX12" s="11"/>
      <c r="DY12" s="11"/>
      <c r="DZ12" s="11">
        <v>36</v>
      </c>
      <c r="EA12" s="49">
        <v>1.6000000000000001E-3</v>
      </c>
      <c r="EB12" s="11"/>
      <c r="EC12" s="23"/>
      <c r="ED12" s="23"/>
      <c r="EE12" s="23"/>
      <c r="EF12" s="49"/>
      <c r="EG12" s="11"/>
      <c r="EH12" s="11"/>
      <c r="EI12" s="11"/>
      <c r="EJ12" s="11"/>
      <c r="EK12" s="49"/>
    </row>
    <row r="13" spans="1:141" x14ac:dyDescent="0.25">
      <c r="A13" s="23" t="s">
        <v>41</v>
      </c>
      <c r="B13" s="11"/>
      <c r="C13" s="23"/>
      <c r="D13" s="23"/>
      <c r="E13" s="23"/>
      <c r="F13" s="49"/>
      <c r="G13" s="11"/>
      <c r="H13" s="11"/>
      <c r="I13" s="11"/>
      <c r="J13" s="23"/>
      <c r="K13" s="49"/>
      <c r="L13" s="11"/>
      <c r="M13" s="11"/>
      <c r="N13" s="11"/>
      <c r="O13" s="11"/>
      <c r="P13" s="96"/>
      <c r="Q13" s="11"/>
      <c r="R13" s="23"/>
      <c r="S13" s="23"/>
      <c r="T13" s="23"/>
      <c r="U13" s="49"/>
      <c r="V13" s="23"/>
      <c r="W13" s="23"/>
      <c r="X13" s="23"/>
      <c r="Y13" s="23"/>
      <c r="Z13" s="49"/>
      <c r="AA13" s="11"/>
      <c r="AB13" s="23"/>
      <c r="AC13" s="23"/>
      <c r="AD13" s="23"/>
      <c r="AE13" s="49"/>
      <c r="AF13" s="11"/>
      <c r="AG13" s="23"/>
      <c r="AH13" s="23"/>
      <c r="AI13" s="23"/>
      <c r="AJ13" s="49"/>
      <c r="AK13" s="11"/>
      <c r="AL13" s="23"/>
      <c r="AM13" s="23"/>
      <c r="AN13" s="23"/>
      <c r="AO13" s="23"/>
      <c r="AP13" s="23"/>
      <c r="AQ13" s="23"/>
      <c r="AR13" s="23"/>
      <c r="AS13" s="23"/>
      <c r="AT13" s="96"/>
      <c r="AU13" s="11"/>
      <c r="AV13" s="11"/>
      <c r="AW13" s="11"/>
      <c r="AX13" s="11"/>
      <c r="AY13" s="49"/>
      <c r="AZ13" s="11"/>
      <c r="BA13" s="11"/>
      <c r="BB13" s="11"/>
      <c r="BC13" s="11"/>
      <c r="BD13" s="49"/>
      <c r="BE13" s="11"/>
      <c r="BF13" s="23"/>
      <c r="BG13" s="23"/>
      <c r="BH13" s="23"/>
      <c r="BI13" s="96"/>
      <c r="BJ13" s="11"/>
      <c r="BK13" s="11"/>
      <c r="BL13" s="11"/>
      <c r="BM13" s="11"/>
      <c r="BN13" s="49"/>
      <c r="BO13" s="11"/>
      <c r="BP13" s="11"/>
      <c r="BQ13" s="11"/>
      <c r="BR13" s="11"/>
      <c r="BS13" s="49"/>
      <c r="BT13" s="11"/>
      <c r="BU13" s="23"/>
      <c r="BV13" s="23"/>
      <c r="BW13" s="23"/>
      <c r="BX13" s="49"/>
      <c r="BY13" s="23"/>
      <c r="BZ13" s="23"/>
      <c r="CA13" s="23"/>
      <c r="CB13" s="23"/>
      <c r="CC13" s="49"/>
      <c r="CD13" s="11"/>
      <c r="CE13" s="23"/>
      <c r="CF13" s="23"/>
      <c r="CG13" s="23"/>
      <c r="CH13" s="49"/>
      <c r="CI13" s="23"/>
      <c r="CJ13" s="23"/>
      <c r="CK13" s="23"/>
      <c r="CL13" s="23"/>
      <c r="CM13" s="49"/>
      <c r="CN13" s="11"/>
      <c r="CO13" s="23"/>
      <c r="CP13" s="23"/>
      <c r="CQ13" s="23"/>
      <c r="CR13" s="49"/>
      <c r="CS13" s="11"/>
      <c r="CT13" s="23"/>
      <c r="CU13" s="23"/>
      <c r="CV13" s="23"/>
      <c r="CW13" s="49"/>
      <c r="CX13" s="11"/>
      <c r="CY13" s="23"/>
      <c r="CZ13" s="23"/>
      <c r="DA13" s="23"/>
      <c r="DB13" s="49"/>
      <c r="DC13" s="11"/>
      <c r="DD13" s="23"/>
      <c r="DE13" s="23"/>
      <c r="DF13" s="23"/>
      <c r="DG13" s="49"/>
      <c r="DH13" s="11"/>
      <c r="DI13" s="23"/>
      <c r="DJ13" s="23"/>
      <c r="DK13" s="23">
        <v>260.35000000000002</v>
      </c>
      <c r="DL13" s="49">
        <v>5.8999999999999999E-3</v>
      </c>
      <c r="DM13" s="23"/>
      <c r="DN13" s="23"/>
      <c r="DO13" s="23"/>
      <c r="DP13" s="23"/>
      <c r="DQ13" s="49"/>
      <c r="DR13" s="11"/>
      <c r="DS13" s="11"/>
      <c r="DT13" s="23"/>
      <c r="DU13" s="23"/>
      <c r="DV13" s="49"/>
      <c r="DW13" s="11"/>
      <c r="DX13" s="11"/>
      <c r="DY13" s="11"/>
      <c r="DZ13" s="11"/>
      <c r="EA13" s="49"/>
      <c r="EB13" s="11"/>
      <c r="EC13" s="23"/>
      <c r="ED13" s="23"/>
      <c r="EE13" s="23"/>
      <c r="EF13" s="49"/>
      <c r="EG13" s="11"/>
      <c r="EH13" s="11"/>
      <c r="EI13" s="11"/>
      <c r="EJ13" s="11"/>
      <c r="EK13" s="49"/>
    </row>
    <row r="14" spans="1:141" x14ac:dyDescent="0.25">
      <c r="A14" s="23" t="s">
        <v>187</v>
      </c>
      <c r="B14" s="11"/>
      <c r="C14" s="23"/>
      <c r="D14" s="23"/>
      <c r="E14" s="23"/>
      <c r="F14" s="49"/>
      <c r="G14" s="11"/>
      <c r="H14" s="11"/>
      <c r="I14" s="11"/>
      <c r="J14" s="23"/>
      <c r="K14" s="49"/>
      <c r="L14" s="11"/>
      <c r="M14" s="11"/>
      <c r="N14" s="11"/>
      <c r="O14" s="11"/>
      <c r="P14" s="96"/>
      <c r="Q14" s="11"/>
      <c r="R14" s="23"/>
      <c r="S14" s="23"/>
      <c r="T14" s="23"/>
      <c r="U14" s="49"/>
      <c r="V14" s="23"/>
      <c r="W14" s="23"/>
      <c r="X14" s="23"/>
      <c r="Y14" s="23"/>
      <c r="Z14" s="49"/>
      <c r="AA14" s="11"/>
      <c r="AB14" s="23"/>
      <c r="AC14" s="23"/>
      <c r="AD14" s="23"/>
      <c r="AE14" s="49"/>
      <c r="AF14" s="11"/>
      <c r="AG14" s="23"/>
      <c r="AH14" s="23"/>
      <c r="AI14" s="23"/>
      <c r="AJ14" s="49"/>
      <c r="AK14" s="11"/>
      <c r="AL14" s="23"/>
      <c r="AM14" s="23"/>
      <c r="AN14" s="23"/>
      <c r="AO14" s="23"/>
      <c r="AP14" s="23"/>
      <c r="AQ14" s="23"/>
      <c r="AR14" s="23"/>
      <c r="AS14" s="23"/>
      <c r="AT14" s="96"/>
      <c r="AU14" s="11"/>
      <c r="AV14" s="11"/>
      <c r="AW14" s="11"/>
      <c r="AX14" s="11"/>
      <c r="AY14" s="49"/>
      <c r="AZ14" s="11"/>
      <c r="BA14" s="11"/>
      <c r="BB14" s="11"/>
      <c r="BC14" s="11"/>
      <c r="BD14" s="23"/>
      <c r="BE14" s="11"/>
      <c r="BF14" s="23"/>
      <c r="BG14" s="23"/>
      <c r="BH14" s="23"/>
      <c r="BI14" s="96"/>
      <c r="BJ14" s="11"/>
      <c r="BK14" s="11"/>
      <c r="BL14" s="11"/>
      <c r="BM14" s="11"/>
      <c r="BN14" s="49"/>
      <c r="BO14" s="11"/>
      <c r="BP14" s="11"/>
      <c r="BQ14" s="11"/>
      <c r="BR14" s="11"/>
      <c r="BS14" s="49"/>
      <c r="BT14" s="11"/>
      <c r="BU14" s="23"/>
      <c r="BV14" s="23"/>
      <c r="BW14" s="23"/>
      <c r="BX14" s="49"/>
      <c r="BY14" s="23"/>
      <c r="BZ14" s="23"/>
      <c r="CA14" s="23"/>
      <c r="CB14" s="23"/>
      <c r="CC14" s="49"/>
      <c r="CD14" s="11">
        <v>4</v>
      </c>
      <c r="CE14" s="23">
        <v>1226.25</v>
      </c>
      <c r="CF14" s="23">
        <v>4.4400000000000004</v>
      </c>
      <c r="CG14" s="23">
        <v>154.02000000000001</v>
      </c>
      <c r="CH14" s="49">
        <v>2.5000000000000001E-2</v>
      </c>
      <c r="CI14" s="23"/>
      <c r="CJ14" s="23"/>
      <c r="CK14" s="23"/>
      <c r="CL14" s="23"/>
      <c r="CM14" s="49"/>
      <c r="CN14" s="11"/>
      <c r="CO14" s="23"/>
      <c r="CP14" s="23"/>
      <c r="CQ14" s="23"/>
      <c r="CR14" s="49"/>
      <c r="CS14" s="11"/>
      <c r="CT14" s="23"/>
      <c r="CU14" s="23"/>
      <c r="CV14" s="23"/>
      <c r="CW14" s="49"/>
      <c r="CX14" s="11"/>
      <c r="CY14" s="23"/>
      <c r="CZ14" s="23"/>
      <c r="DA14" s="23"/>
      <c r="DB14" s="49"/>
      <c r="DC14" s="11"/>
      <c r="DD14" s="23"/>
      <c r="DE14" s="23"/>
      <c r="DF14" s="23"/>
      <c r="DG14" s="49"/>
      <c r="DH14" s="11"/>
      <c r="DI14" s="23"/>
      <c r="DJ14" s="23"/>
      <c r="DK14" s="23"/>
      <c r="DL14" s="23"/>
      <c r="DM14" s="23"/>
      <c r="DN14" s="23"/>
      <c r="DO14" s="23"/>
      <c r="DP14" s="23"/>
      <c r="DQ14" s="49"/>
      <c r="DR14" s="11"/>
      <c r="DS14" s="11"/>
      <c r="DT14" s="23"/>
      <c r="DU14" s="23"/>
      <c r="DV14" s="49"/>
      <c r="DW14" s="11"/>
      <c r="DX14" s="11"/>
      <c r="DY14" s="11"/>
      <c r="DZ14" s="11"/>
      <c r="EA14" s="49"/>
      <c r="EB14" s="11"/>
      <c r="EC14" s="23"/>
      <c r="ED14" s="23"/>
      <c r="EE14" s="23"/>
      <c r="EF14" s="49"/>
      <c r="EG14" s="11"/>
      <c r="EH14" s="11"/>
      <c r="EI14" s="11"/>
      <c r="EJ14" s="11"/>
      <c r="EK14" s="49"/>
    </row>
    <row r="15" spans="1:141" s="54" customFormat="1" x14ac:dyDescent="0.25">
      <c r="A15" s="25" t="s">
        <v>160</v>
      </c>
      <c r="B15" s="43">
        <f t="shared" ref="B15:K15" si="0">SUM(B5:B14)</f>
        <v>36</v>
      </c>
      <c r="C15" s="25">
        <f t="shared" si="0"/>
        <v>123206.42000000001</v>
      </c>
      <c r="D15" s="25">
        <f t="shared" si="0"/>
        <v>6111.0599999999995</v>
      </c>
      <c r="E15" s="25">
        <f t="shared" si="0"/>
        <v>0</v>
      </c>
      <c r="F15" s="51">
        <f t="shared" si="0"/>
        <v>1</v>
      </c>
      <c r="G15" s="43">
        <f t="shared" si="0"/>
        <v>4</v>
      </c>
      <c r="H15" s="43">
        <f t="shared" si="0"/>
        <v>24238</v>
      </c>
      <c r="I15" s="43">
        <f t="shared" si="0"/>
        <v>153</v>
      </c>
      <c r="J15" s="25">
        <f t="shared" si="0"/>
        <v>0</v>
      </c>
      <c r="K15" s="51">
        <f t="shared" si="0"/>
        <v>1</v>
      </c>
      <c r="L15" s="43">
        <f>SUM(L5:L14)</f>
        <v>101</v>
      </c>
      <c r="M15" s="43">
        <f t="shared" ref="M15:BI15" si="1">SUM(M5:M14)</f>
        <v>30327</v>
      </c>
      <c r="N15" s="43">
        <f t="shared" si="1"/>
        <v>3925</v>
      </c>
      <c r="O15" s="43">
        <f t="shared" si="1"/>
        <v>10058</v>
      </c>
      <c r="P15" s="107">
        <v>1</v>
      </c>
      <c r="Q15" s="43">
        <f t="shared" si="1"/>
        <v>43</v>
      </c>
      <c r="R15" s="25">
        <f t="shared" si="1"/>
        <v>3061.25</v>
      </c>
      <c r="S15" s="25">
        <f t="shared" si="1"/>
        <v>748.63</v>
      </c>
      <c r="T15" s="25">
        <f t="shared" si="1"/>
        <v>1161.93</v>
      </c>
      <c r="U15" s="51">
        <f t="shared" si="1"/>
        <v>1</v>
      </c>
      <c r="V15" s="25">
        <f t="shared" si="1"/>
        <v>0</v>
      </c>
      <c r="W15" s="25">
        <f t="shared" si="1"/>
        <v>10988.310000000001</v>
      </c>
      <c r="X15" s="25">
        <f t="shared" si="1"/>
        <v>83.75</v>
      </c>
      <c r="Y15" s="25">
        <f t="shared" si="1"/>
        <v>1891.23</v>
      </c>
      <c r="Z15" s="51">
        <f t="shared" si="1"/>
        <v>1.0001</v>
      </c>
      <c r="AA15" s="43">
        <f t="shared" si="1"/>
        <v>2</v>
      </c>
      <c r="AB15" s="25">
        <f t="shared" si="1"/>
        <v>910.02</v>
      </c>
      <c r="AC15" s="25">
        <f t="shared" si="1"/>
        <v>0</v>
      </c>
      <c r="AD15" s="25">
        <f t="shared" si="1"/>
        <v>6.28</v>
      </c>
      <c r="AE15" s="51">
        <f t="shared" si="1"/>
        <v>1</v>
      </c>
      <c r="AF15" s="43">
        <f t="shared" si="1"/>
        <v>11</v>
      </c>
      <c r="AG15" s="25">
        <f t="shared" si="1"/>
        <v>11178.009999999998</v>
      </c>
      <c r="AH15" s="25">
        <f t="shared" si="1"/>
        <v>0</v>
      </c>
      <c r="AI15" s="25">
        <f t="shared" si="1"/>
        <v>0</v>
      </c>
      <c r="AJ15" s="51">
        <f t="shared" si="1"/>
        <v>1</v>
      </c>
      <c r="AK15" s="43">
        <f t="shared" si="1"/>
        <v>97</v>
      </c>
      <c r="AL15" s="25">
        <f t="shared" si="1"/>
        <v>12566.18</v>
      </c>
      <c r="AM15" s="25">
        <f t="shared" si="1"/>
        <v>621.36999999999989</v>
      </c>
      <c r="AN15" s="25">
        <f t="shared" si="1"/>
        <v>2372.4899999999998</v>
      </c>
      <c r="AO15" s="51">
        <f t="shared" si="1"/>
        <v>2.4554</v>
      </c>
      <c r="AP15" s="25">
        <f t="shared" si="1"/>
        <v>44</v>
      </c>
      <c r="AQ15" s="25">
        <f t="shared" si="1"/>
        <v>2536.9</v>
      </c>
      <c r="AR15" s="25">
        <f t="shared" si="1"/>
        <v>474.83</v>
      </c>
      <c r="AS15" s="25">
        <f t="shared" si="1"/>
        <v>272.45999999999998</v>
      </c>
      <c r="AT15" s="107">
        <f t="shared" si="1"/>
        <v>0.99</v>
      </c>
      <c r="AU15" s="43">
        <f t="shared" si="1"/>
        <v>141</v>
      </c>
      <c r="AV15" s="43">
        <f t="shared" si="1"/>
        <v>218525</v>
      </c>
      <c r="AW15" s="43">
        <f t="shared" si="1"/>
        <v>15464</v>
      </c>
      <c r="AX15" s="43">
        <f t="shared" si="1"/>
        <v>52015</v>
      </c>
      <c r="AY15" s="51">
        <f t="shared" si="1"/>
        <v>1.0000999999999998</v>
      </c>
      <c r="AZ15" s="43">
        <f t="shared" si="1"/>
        <v>226</v>
      </c>
      <c r="BA15" s="43">
        <f t="shared" si="1"/>
        <v>41552</v>
      </c>
      <c r="BB15" s="43">
        <f t="shared" si="1"/>
        <v>3886</v>
      </c>
      <c r="BC15" s="43">
        <f t="shared" si="1"/>
        <v>33541</v>
      </c>
      <c r="BD15" s="51">
        <f t="shared" si="1"/>
        <v>1</v>
      </c>
      <c r="BE15" s="43">
        <f t="shared" si="1"/>
        <v>4</v>
      </c>
      <c r="BF15" s="25">
        <f t="shared" si="1"/>
        <v>18.54</v>
      </c>
      <c r="BG15" s="25">
        <f t="shared" si="1"/>
        <v>22.05</v>
      </c>
      <c r="BH15" s="25">
        <f t="shared" si="1"/>
        <v>0</v>
      </c>
      <c r="BI15" s="107">
        <f t="shared" si="1"/>
        <v>1</v>
      </c>
      <c r="BJ15" s="43">
        <f t="shared" ref="BJ15:DU15" si="2">SUM(BJ5:BJ14)</f>
        <v>13</v>
      </c>
      <c r="BK15" s="43">
        <f t="shared" si="2"/>
        <v>125279572</v>
      </c>
      <c r="BL15" s="43">
        <f t="shared" si="2"/>
        <v>23689754</v>
      </c>
      <c r="BM15" s="43">
        <f t="shared" si="2"/>
        <v>-220494</v>
      </c>
      <c r="BN15" s="51">
        <f t="shared" si="2"/>
        <v>1</v>
      </c>
      <c r="BO15" s="43">
        <f t="shared" si="2"/>
        <v>33</v>
      </c>
      <c r="BP15" s="43">
        <f t="shared" si="2"/>
        <v>906</v>
      </c>
      <c r="BQ15" s="43">
        <f t="shared" si="2"/>
        <v>231</v>
      </c>
      <c r="BR15" s="43">
        <f t="shared" si="2"/>
        <v>2457</v>
      </c>
      <c r="BS15" s="51">
        <f t="shared" si="2"/>
        <v>1</v>
      </c>
      <c r="BT15" s="43">
        <f t="shared" si="2"/>
        <v>5</v>
      </c>
      <c r="BU15" s="25">
        <f t="shared" si="2"/>
        <v>2429.37</v>
      </c>
      <c r="BV15" s="25">
        <f t="shared" si="2"/>
        <v>16.27</v>
      </c>
      <c r="BW15" s="25">
        <f t="shared" si="2"/>
        <v>0</v>
      </c>
      <c r="BX15" s="51">
        <f t="shared" si="2"/>
        <v>1</v>
      </c>
      <c r="BY15" s="25">
        <f t="shared" si="2"/>
        <v>0</v>
      </c>
      <c r="BZ15" s="25">
        <f t="shared" si="2"/>
        <v>21432.300000000003</v>
      </c>
      <c r="CA15" s="25">
        <f t="shared" si="2"/>
        <v>1260.6799999999998</v>
      </c>
      <c r="CB15" s="25">
        <f t="shared" si="2"/>
        <v>7269.78</v>
      </c>
      <c r="CC15" s="51">
        <f t="shared" si="2"/>
        <v>0.99990000000000001</v>
      </c>
      <c r="CD15" s="43">
        <f t="shared" si="2"/>
        <v>245</v>
      </c>
      <c r="CE15" s="25">
        <f t="shared" si="2"/>
        <v>29402.34</v>
      </c>
      <c r="CF15" s="25">
        <f t="shared" si="2"/>
        <v>1668.1499999999999</v>
      </c>
      <c r="CG15" s="25">
        <f t="shared" si="2"/>
        <v>24338.400000000001</v>
      </c>
      <c r="CH15" s="51">
        <f t="shared" si="2"/>
        <v>1</v>
      </c>
      <c r="CI15" s="25">
        <f t="shared" si="2"/>
        <v>0</v>
      </c>
      <c r="CJ15" s="25">
        <f t="shared" si="2"/>
        <v>0</v>
      </c>
      <c r="CK15" s="25">
        <f t="shared" si="2"/>
        <v>0</v>
      </c>
      <c r="CL15" s="25">
        <f t="shared" si="2"/>
        <v>0</v>
      </c>
      <c r="CM15" s="51">
        <f t="shared" si="2"/>
        <v>0</v>
      </c>
      <c r="CN15" s="43">
        <f t="shared" si="2"/>
        <v>8</v>
      </c>
      <c r="CO15" s="25">
        <f t="shared" si="2"/>
        <v>145.91</v>
      </c>
      <c r="CP15" s="25">
        <f t="shared" si="2"/>
        <v>655.68</v>
      </c>
      <c r="CQ15" s="25">
        <f t="shared" si="2"/>
        <v>283.06</v>
      </c>
      <c r="CR15" s="51">
        <f t="shared" si="2"/>
        <v>1</v>
      </c>
      <c r="CS15" s="43">
        <f t="shared" si="2"/>
        <v>192</v>
      </c>
      <c r="CT15" s="25">
        <f t="shared" si="2"/>
        <v>16469.22</v>
      </c>
      <c r="CU15" s="25">
        <f t="shared" si="2"/>
        <v>689.15999999999985</v>
      </c>
      <c r="CV15" s="25">
        <f t="shared" si="2"/>
        <v>-2209.48</v>
      </c>
      <c r="CW15" s="51">
        <f t="shared" si="2"/>
        <v>0.99990000000000001</v>
      </c>
      <c r="CX15" s="43">
        <f t="shared" si="2"/>
        <v>7</v>
      </c>
      <c r="CY15" s="25">
        <f t="shared" si="2"/>
        <v>12942.8</v>
      </c>
      <c r="CZ15" s="25">
        <f t="shared" si="2"/>
        <v>93.7</v>
      </c>
      <c r="DA15" s="25">
        <f t="shared" si="2"/>
        <v>1328.4</v>
      </c>
      <c r="DB15" s="51">
        <f t="shared" si="2"/>
        <v>1</v>
      </c>
      <c r="DC15" s="43">
        <f t="shared" si="2"/>
        <v>23</v>
      </c>
      <c r="DD15" s="25">
        <f t="shared" si="2"/>
        <v>18149.41</v>
      </c>
      <c r="DE15" s="25">
        <f t="shared" si="2"/>
        <v>2064.3399999999997</v>
      </c>
      <c r="DF15" s="25">
        <f t="shared" si="2"/>
        <v>1159.28</v>
      </c>
      <c r="DG15" s="51">
        <f t="shared" si="2"/>
        <v>1</v>
      </c>
      <c r="DH15" s="43">
        <f t="shared" si="2"/>
        <v>103</v>
      </c>
      <c r="DI15" s="25">
        <f t="shared" si="2"/>
        <v>36726.04</v>
      </c>
      <c r="DJ15" s="25">
        <f t="shared" si="2"/>
        <v>4885.7700000000004</v>
      </c>
      <c r="DK15" s="25">
        <f t="shared" si="2"/>
        <v>2843.9</v>
      </c>
      <c r="DL15" s="51">
        <f t="shared" si="2"/>
        <v>1.0000999999999998</v>
      </c>
      <c r="DM15" s="25">
        <f t="shared" si="2"/>
        <v>20</v>
      </c>
      <c r="DN15" s="25">
        <f t="shared" si="2"/>
        <v>2041.96</v>
      </c>
      <c r="DO15" s="25">
        <f t="shared" si="2"/>
        <v>260.83</v>
      </c>
      <c r="DP15" s="25">
        <f t="shared" si="2"/>
        <v>26.17</v>
      </c>
      <c r="DQ15" s="51">
        <f t="shared" si="2"/>
        <v>0.99829999999999985</v>
      </c>
      <c r="DR15" s="43">
        <f t="shared" si="2"/>
        <v>1</v>
      </c>
      <c r="DS15" s="43">
        <f t="shared" si="2"/>
        <v>46789</v>
      </c>
      <c r="DT15" s="25">
        <f t="shared" si="2"/>
        <v>0</v>
      </c>
      <c r="DU15" s="25">
        <f t="shared" si="2"/>
        <v>0</v>
      </c>
      <c r="DV15" s="51">
        <f t="shared" ref="DV15:EK15" si="3">SUM(DV5:DV14)</f>
        <v>1</v>
      </c>
      <c r="DW15" s="43">
        <f t="shared" si="3"/>
        <v>117</v>
      </c>
      <c r="DX15" s="43">
        <f t="shared" si="3"/>
        <v>15551</v>
      </c>
      <c r="DY15" s="43">
        <f t="shared" si="3"/>
        <v>4423</v>
      </c>
      <c r="DZ15" s="43">
        <f t="shared" si="3"/>
        <v>3084</v>
      </c>
      <c r="EA15" s="51">
        <f t="shared" si="3"/>
        <v>1</v>
      </c>
      <c r="EB15" s="43">
        <f t="shared" si="3"/>
        <v>219</v>
      </c>
      <c r="EC15" s="25">
        <f t="shared" si="3"/>
        <v>1112.93</v>
      </c>
      <c r="ED15" s="25">
        <f t="shared" si="3"/>
        <v>306.57</v>
      </c>
      <c r="EE15" s="25">
        <f t="shared" si="3"/>
        <v>398.67999999999995</v>
      </c>
      <c r="EF15" s="51">
        <f t="shared" si="3"/>
        <v>1</v>
      </c>
      <c r="EG15" s="43">
        <f t="shared" si="3"/>
        <v>44</v>
      </c>
      <c r="EH15" s="43">
        <f t="shared" si="3"/>
        <v>25854</v>
      </c>
      <c r="EI15" s="43">
        <f t="shared" si="3"/>
        <v>3772</v>
      </c>
      <c r="EJ15" s="43">
        <f t="shared" si="3"/>
        <v>3699</v>
      </c>
      <c r="EK15" s="51">
        <f t="shared" si="3"/>
        <v>1</v>
      </c>
    </row>
  </sheetData>
  <mergeCells count="113">
    <mergeCell ref="EH3:EJ3"/>
    <mergeCell ref="EK3:EK4"/>
    <mergeCell ref="A3:A4"/>
    <mergeCell ref="DX3:DZ3"/>
    <mergeCell ref="EA3:EA4"/>
    <mergeCell ref="EB3:EB4"/>
    <mergeCell ref="EC3:EE3"/>
    <mergeCell ref="EF3:EF4"/>
    <mergeCell ref="EG3:EG4"/>
    <mergeCell ref="DN3:DP3"/>
    <mergeCell ref="DQ3:DQ4"/>
    <mergeCell ref="DR3:DR4"/>
    <mergeCell ref="DS3:DU3"/>
    <mergeCell ref="DV3:DV4"/>
    <mergeCell ref="DW3:DW4"/>
    <mergeCell ref="DD3:DF3"/>
    <mergeCell ref="DG3:DG4"/>
    <mergeCell ref="DH3:DH4"/>
    <mergeCell ref="DI3:DK3"/>
    <mergeCell ref="DL3:DL4"/>
    <mergeCell ref="DM3:DM4"/>
    <mergeCell ref="CT3:CV3"/>
    <mergeCell ref="CW3:CW4"/>
    <mergeCell ref="CX3:CX4"/>
    <mergeCell ref="CY3:DA3"/>
    <mergeCell ref="DB3:DB4"/>
    <mergeCell ref="DC3:DC4"/>
    <mergeCell ref="CJ3:CL3"/>
    <mergeCell ref="CM3:CM4"/>
    <mergeCell ref="CN3:CN4"/>
    <mergeCell ref="CO3:CQ3"/>
    <mergeCell ref="CR3:CR4"/>
    <mergeCell ref="CS3:CS4"/>
    <mergeCell ref="BZ3:CB3"/>
    <mergeCell ref="CC3:CC4"/>
    <mergeCell ref="CD3:CD4"/>
    <mergeCell ref="CE3:CG3"/>
    <mergeCell ref="CH3:CH4"/>
    <mergeCell ref="CI3:CI4"/>
    <mergeCell ref="BP3:BR3"/>
    <mergeCell ref="BS3:BS4"/>
    <mergeCell ref="BT3:BT4"/>
    <mergeCell ref="BU3:BW3"/>
    <mergeCell ref="BX3:BX4"/>
    <mergeCell ref="BY3:BY4"/>
    <mergeCell ref="BF3:BH3"/>
    <mergeCell ref="BI3:BI4"/>
    <mergeCell ref="BJ3:BJ4"/>
    <mergeCell ref="BK3:BM3"/>
    <mergeCell ref="BN3:BN4"/>
    <mergeCell ref="BO3:BO4"/>
    <mergeCell ref="AV3:AX3"/>
    <mergeCell ref="AY3:AY4"/>
    <mergeCell ref="AZ3:AZ4"/>
    <mergeCell ref="BA3:BC3"/>
    <mergeCell ref="BD3:BD4"/>
    <mergeCell ref="BE3:BE4"/>
    <mergeCell ref="AP3:AP4"/>
    <mergeCell ref="AQ3:AS3"/>
    <mergeCell ref="AT3:AT4"/>
    <mergeCell ref="AU3:AU4"/>
    <mergeCell ref="AG3:AI3"/>
    <mergeCell ref="AJ3:AJ4"/>
    <mergeCell ref="AK3:AK4"/>
    <mergeCell ref="AL3:AN3"/>
    <mergeCell ref="AO3:AO4"/>
    <mergeCell ref="V3:V4"/>
    <mergeCell ref="C3:E3"/>
    <mergeCell ref="F3:F4"/>
    <mergeCell ref="G3:G4"/>
    <mergeCell ref="H3:J3"/>
    <mergeCell ref="K3:K4"/>
    <mergeCell ref="L3:L4"/>
    <mergeCell ref="AF3:AF4"/>
    <mergeCell ref="W3:Y3"/>
    <mergeCell ref="Z3:Z4"/>
    <mergeCell ref="AA3:AA4"/>
    <mergeCell ref="AB3:AD3"/>
    <mergeCell ref="AE3:AE4"/>
    <mergeCell ref="DW2:EA2"/>
    <mergeCell ref="EB2:EF2"/>
    <mergeCell ref="EG2:EK2"/>
    <mergeCell ref="B3:B4"/>
    <mergeCell ref="CS2:CW2"/>
    <mergeCell ref="CX2:DB2"/>
    <mergeCell ref="DC2:DG2"/>
    <mergeCell ref="DH2:DL2"/>
    <mergeCell ref="DM2:DQ2"/>
    <mergeCell ref="DR2:DV2"/>
    <mergeCell ref="BO2:BS2"/>
    <mergeCell ref="BT2:BX2"/>
    <mergeCell ref="BY2:CC2"/>
    <mergeCell ref="CD2:CH2"/>
    <mergeCell ref="CI2:CM2"/>
    <mergeCell ref="CN2:CR2"/>
    <mergeCell ref="AP2:AT2"/>
    <mergeCell ref="M3:O3"/>
    <mergeCell ref="P3:P4"/>
    <mergeCell ref="Q3:Q4"/>
    <mergeCell ref="R3:T3"/>
    <mergeCell ref="U3:U4"/>
    <mergeCell ref="B2:F2"/>
    <mergeCell ref="G2:K2"/>
    <mergeCell ref="L2:P2"/>
    <mergeCell ref="Q2:U2"/>
    <mergeCell ref="AU2:AY2"/>
    <mergeCell ref="AZ2:BD2"/>
    <mergeCell ref="BE2:BI2"/>
    <mergeCell ref="BJ2:BN2"/>
    <mergeCell ref="V2:Z2"/>
    <mergeCell ref="AA2:AE2"/>
    <mergeCell ref="AF2:AJ2"/>
    <mergeCell ref="AK2:A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33.140625" style="8" customWidth="1"/>
    <col min="2" max="85" width="10.85546875" style="8" customWidth="1"/>
    <col min="86" max="16384" width="9.140625" style="8"/>
  </cols>
  <sheetData>
    <row r="1" spans="1:85" ht="18.75" x14ac:dyDescent="0.3">
      <c r="A1" s="10" t="s">
        <v>280</v>
      </c>
    </row>
    <row r="2" spans="1:85" x14ac:dyDescent="0.25">
      <c r="A2" s="8" t="s">
        <v>171</v>
      </c>
    </row>
    <row r="3" spans="1:85" x14ac:dyDescent="0.25">
      <c r="A3" s="1" t="s">
        <v>0</v>
      </c>
      <c r="B3" s="105" t="s">
        <v>1</v>
      </c>
      <c r="C3" s="105"/>
      <c r="D3" s="105"/>
      <c r="E3" s="105" t="s">
        <v>2</v>
      </c>
      <c r="F3" s="105"/>
      <c r="G3" s="105"/>
      <c r="H3" s="106" t="s">
        <v>3</v>
      </c>
      <c r="I3" s="106"/>
      <c r="J3" s="106"/>
      <c r="K3" s="105" t="s">
        <v>4</v>
      </c>
      <c r="L3" s="105"/>
      <c r="M3" s="105"/>
      <c r="N3" s="105" t="s">
        <v>5</v>
      </c>
      <c r="O3" s="105"/>
      <c r="P3" s="105"/>
      <c r="Q3" s="105" t="s">
        <v>6</v>
      </c>
      <c r="R3" s="105"/>
      <c r="S3" s="105"/>
      <c r="T3" s="105" t="s">
        <v>7</v>
      </c>
      <c r="U3" s="105"/>
      <c r="V3" s="105"/>
      <c r="W3" s="105" t="s">
        <v>8</v>
      </c>
      <c r="X3" s="105"/>
      <c r="Y3" s="105"/>
      <c r="Z3" s="105" t="s">
        <v>10</v>
      </c>
      <c r="AA3" s="105"/>
      <c r="AB3" s="105"/>
      <c r="AC3" s="105" t="s">
        <v>11</v>
      </c>
      <c r="AD3" s="105"/>
      <c r="AE3" s="105"/>
      <c r="AF3" s="105" t="s">
        <v>12</v>
      </c>
      <c r="AG3" s="105"/>
      <c r="AH3" s="105"/>
      <c r="AI3" s="105" t="s">
        <v>13</v>
      </c>
      <c r="AJ3" s="105"/>
      <c r="AK3" s="105"/>
      <c r="AL3" s="105" t="s">
        <v>14</v>
      </c>
      <c r="AM3" s="105"/>
      <c r="AN3" s="105"/>
      <c r="AO3" s="105" t="s">
        <v>15</v>
      </c>
      <c r="AP3" s="105"/>
      <c r="AQ3" s="105"/>
      <c r="AR3" s="105" t="s">
        <v>16</v>
      </c>
      <c r="AS3" s="105"/>
      <c r="AT3" s="105"/>
      <c r="AU3" s="105" t="s">
        <v>17</v>
      </c>
      <c r="AV3" s="105"/>
      <c r="AW3" s="105"/>
      <c r="AX3" s="105" t="s">
        <v>18</v>
      </c>
      <c r="AY3" s="105"/>
      <c r="AZ3" s="105"/>
      <c r="BA3" s="105" t="s">
        <v>19</v>
      </c>
      <c r="BB3" s="105"/>
      <c r="BC3" s="105"/>
      <c r="BD3" s="105" t="s">
        <v>20</v>
      </c>
      <c r="BE3" s="105"/>
      <c r="BF3" s="105"/>
      <c r="BG3" s="105" t="s">
        <v>21</v>
      </c>
      <c r="BH3" s="105"/>
      <c r="BI3" s="105"/>
      <c r="BJ3" s="105" t="s">
        <v>22</v>
      </c>
      <c r="BK3" s="105"/>
      <c r="BL3" s="105"/>
      <c r="BM3" s="105" t="s">
        <v>23</v>
      </c>
      <c r="BN3" s="105"/>
      <c r="BO3" s="105"/>
      <c r="BP3" s="105" t="s">
        <v>24</v>
      </c>
      <c r="BQ3" s="105"/>
      <c r="BR3" s="105"/>
      <c r="BS3" s="105" t="s">
        <v>25</v>
      </c>
      <c r="BT3" s="105"/>
      <c r="BU3" s="105"/>
      <c r="BV3" s="105" t="s">
        <v>26</v>
      </c>
      <c r="BW3" s="105"/>
      <c r="BX3" s="105"/>
      <c r="BY3" s="105" t="s">
        <v>27</v>
      </c>
      <c r="BZ3" s="105"/>
      <c r="CA3" s="105"/>
      <c r="CB3" s="105" t="s">
        <v>28</v>
      </c>
      <c r="CC3" s="105"/>
      <c r="CD3" s="105"/>
      <c r="CE3" s="105" t="s">
        <v>29</v>
      </c>
      <c r="CF3" s="105"/>
      <c r="CG3" s="105"/>
    </row>
    <row r="4" spans="1:85" x14ac:dyDescent="0.25">
      <c r="A4" s="11"/>
      <c r="B4" s="40" t="s">
        <v>158</v>
      </c>
      <c r="C4" s="40" t="s">
        <v>159</v>
      </c>
      <c r="D4" s="40" t="s">
        <v>160</v>
      </c>
      <c r="E4" s="40" t="s">
        <v>158</v>
      </c>
      <c r="F4" s="40" t="s">
        <v>159</v>
      </c>
      <c r="G4" s="40" t="s">
        <v>160</v>
      </c>
      <c r="H4" s="40" t="s">
        <v>158</v>
      </c>
      <c r="I4" s="40" t="s">
        <v>159</v>
      </c>
      <c r="J4" s="40" t="s">
        <v>160</v>
      </c>
      <c r="K4" s="40" t="s">
        <v>158</v>
      </c>
      <c r="L4" s="40" t="s">
        <v>159</v>
      </c>
      <c r="M4" s="40" t="s">
        <v>160</v>
      </c>
      <c r="N4" s="40" t="s">
        <v>158</v>
      </c>
      <c r="O4" s="40" t="s">
        <v>159</v>
      </c>
      <c r="P4" s="40" t="s">
        <v>160</v>
      </c>
      <c r="Q4" s="40" t="s">
        <v>158</v>
      </c>
      <c r="R4" s="40" t="s">
        <v>159</v>
      </c>
      <c r="S4" s="40" t="s">
        <v>160</v>
      </c>
      <c r="T4" s="40" t="s">
        <v>158</v>
      </c>
      <c r="U4" s="40" t="s">
        <v>159</v>
      </c>
      <c r="V4" s="40" t="s">
        <v>160</v>
      </c>
      <c r="W4" s="40" t="s">
        <v>158</v>
      </c>
      <c r="X4" s="40" t="s">
        <v>159</v>
      </c>
      <c r="Y4" s="40" t="s">
        <v>160</v>
      </c>
      <c r="Z4" s="40" t="s">
        <v>158</v>
      </c>
      <c r="AA4" s="40" t="s">
        <v>159</v>
      </c>
      <c r="AB4" s="40" t="s">
        <v>160</v>
      </c>
      <c r="AC4" s="40" t="s">
        <v>158</v>
      </c>
      <c r="AD4" s="40" t="s">
        <v>159</v>
      </c>
      <c r="AE4" s="40" t="s">
        <v>160</v>
      </c>
      <c r="AF4" s="40" t="s">
        <v>158</v>
      </c>
      <c r="AG4" s="40" t="s">
        <v>159</v>
      </c>
      <c r="AH4" s="40" t="s">
        <v>160</v>
      </c>
      <c r="AI4" s="40" t="s">
        <v>158</v>
      </c>
      <c r="AJ4" s="40" t="s">
        <v>159</v>
      </c>
      <c r="AK4" s="40" t="s">
        <v>160</v>
      </c>
      <c r="AL4" s="40" t="s">
        <v>158</v>
      </c>
      <c r="AM4" s="40" t="s">
        <v>159</v>
      </c>
      <c r="AN4" s="40" t="s">
        <v>160</v>
      </c>
      <c r="AO4" s="40" t="s">
        <v>158</v>
      </c>
      <c r="AP4" s="40" t="s">
        <v>159</v>
      </c>
      <c r="AQ4" s="40" t="s">
        <v>160</v>
      </c>
      <c r="AR4" s="40" t="s">
        <v>158</v>
      </c>
      <c r="AS4" s="40" t="s">
        <v>159</v>
      </c>
      <c r="AT4" s="40" t="s">
        <v>160</v>
      </c>
      <c r="AU4" s="40" t="s">
        <v>158</v>
      </c>
      <c r="AV4" s="40" t="s">
        <v>159</v>
      </c>
      <c r="AW4" s="40" t="s">
        <v>160</v>
      </c>
      <c r="AX4" s="40" t="s">
        <v>158</v>
      </c>
      <c r="AY4" s="40" t="s">
        <v>159</v>
      </c>
      <c r="AZ4" s="40" t="s">
        <v>160</v>
      </c>
      <c r="BA4" s="40" t="s">
        <v>158</v>
      </c>
      <c r="BB4" s="40" t="s">
        <v>159</v>
      </c>
      <c r="BC4" s="40" t="s">
        <v>160</v>
      </c>
      <c r="BD4" s="40" t="s">
        <v>158</v>
      </c>
      <c r="BE4" s="40" t="s">
        <v>159</v>
      </c>
      <c r="BF4" s="40" t="s">
        <v>160</v>
      </c>
      <c r="BG4" s="40" t="s">
        <v>158</v>
      </c>
      <c r="BH4" s="40" t="s">
        <v>159</v>
      </c>
      <c r="BI4" s="40" t="s">
        <v>160</v>
      </c>
      <c r="BJ4" s="40" t="s">
        <v>158</v>
      </c>
      <c r="BK4" s="40" t="s">
        <v>159</v>
      </c>
      <c r="BL4" s="40" t="s">
        <v>160</v>
      </c>
      <c r="BM4" s="40" t="s">
        <v>158</v>
      </c>
      <c r="BN4" s="40" t="s">
        <v>159</v>
      </c>
      <c r="BO4" s="40" t="s">
        <v>160</v>
      </c>
      <c r="BP4" s="40" t="s">
        <v>158</v>
      </c>
      <c r="BQ4" s="40" t="s">
        <v>159</v>
      </c>
      <c r="BR4" s="40" t="s">
        <v>160</v>
      </c>
      <c r="BS4" s="40" t="s">
        <v>158</v>
      </c>
      <c r="BT4" s="40" t="s">
        <v>159</v>
      </c>
      <c r="BU4" s="40" t="s">
        <v>160</v>
      </c>
      <c r="BV4" s="40" t="s">
        <v>158</v>
      </c>
      <c r="BW4" s="40" t="s">
        <v>159</v>
      </c>
      <c r="BX4" s="40" t="s">
        <v>160</v>
      </c>
      <c r="BY4" s="40" t="s">
        <v>158</v>
      </c>
      <c r="BZ4" s="40" t="s">
        <v>159</v>
      </c>
      <c r="CA4" s="40" t="s">
        <v>160</v>
      </c>
      <c r="CB4" s="40" t="s">
        <v>158</v>
      </c>
      <c r="CC4" s="40" t="s">
        <v>159</v>
      </c>
      <c r="CD4" s="40" t="s">
        <v>160</v>
      </c>
      <c r="CE4" s="40" t="s">
        <v>158</v>
      </c>
      <c r="CF4" s="40" t="s">
        <v>159</v>
      </c>
      <c r="CG4" s="40" t="s">
        <v>160</v>
      </c>
    </row>
    <row r="5" spans="1:85" x14ac:dyDescent="0.25">
      <c r="A5" s="11" t="s">
        <v>161</v>
      </c>
      <c r="B5" s="11"/>
      <c r="C5" s="11">
        <f>D5-B5</f>
        <v>8152146</v>
      </c>
      <c r="D5" s="11">
        <v>8152146</v>
      </c>
      <c r="E5" s="11"/>
      <c r="F5" s="11">
        <f>G5-E5</f>
        <v>8701</v>
      </c>
      <c r="G5" s="11">
        <v>8701</v>
      </c>
      <c r="H5" s="11">
        <v>50065</v>
      </c>
      <c r="I5" s="11">
        <f>J5-H5</f>
        <v>63203</v>
      </c>
      <c r="J5" s="11">
        <v>113268</v>
      </c>
      <c r="K5" s="11">
        <v>14826</v>
      </c>
      <c r="L5" s="11">
        <f>M5-K5</f>
        <v>22792</v>
      </c>
      <c r="M5" s="11">
        <v>37618</v>
      </c>
      <c r="N5" s="11">
        <v>29122</v>
      </c>
      <c r="O5" s="11">
        <f>P5-N5</f>
        <v>29297</v>
      </c>
      <c r="P5" s="11">
        <v>58419</v>
      </c>
      <c r="Q5" s="11"/>
      <c r="R5" s="11">
        <f>S5-Q5</f>
        <v>423</v>
      </c>
      <c r="S5" s="11">
        <v>423</v>
      </c>
      <c r="T5" s="11"/>
      <c r="U5" s="11">
        <f>V5-T5</f>
        <v>608</v>
      </c>
      <c r="V5" s="11">
        <v>608</v>
      </c>
      <c r="W5" s="11">
        <v>6313</v>
      </c>
      <c r="X5" s="11">
        <f>Y5-W5</f>
        <v>20208</v>
      </c>
      <c r="Y5" s="11">
        <v>26521</v>
      </c>
      <c r="Z5" s="11">
        <v>2064</v>
      </c>
      <c r="AA5" s="11">
        <f>AB5-Z5</f>
        <v>5453</v>
      </c>
      <c r="AB5" s="11">
        <v>7517</v>
      </c>
      <c r="AC5" s="11">
        <v>61291</v>
      </c>
      <c r="AD5" s="11">
        <f>AE5-AC5</f>
        <v>146233</v>
      </c>
      <c r="AE5" s="11">
        <v>207524</v>
      </c>
      <c r="AF5" s="11">
        <v>32744</v>
      </c>
      <c r="AG5" s="11">
        <f>AH5-AF5</f>
        <v>30398</v>
      </c>
      <c r="AH5" s="11">
        <v>63142</v>
      </c>
      <c r="AI5" s="11"/>
      <c r="AJ5" s="11">
        <f>AK5-AI5</f>
        <v>0</v>
      </c>
      <c r="AK5" s="11"/>
      <c r="AL5" s="11">
        <v>388</v>
      </c>
      <c r="AM5" s="11">
        <f>AN5-AL5</f>
        <v>5837</v>
      </c>
      <c r="AN5" s="11">
        <v>6225</v>
      </c>
      <c r="AO5" s="11">
        <v>4044</v>
      </c>
      <c r="AP5" s="11">
        <f>AQ5-AO5</f>
        <v>3679</v>
      </c>
      <c r="AQ5" s="11">
        <v>7723</v>
      </c>
      <c r="AR5" s="11"/>
      <c r="AS5" s="11">
        <f>AT5-AR5</f>
        <v>2929</v>
      </c>
      <c r="AT5" s="11">
        <v>2929</v>
      </c>
      <c r="AU5" s="11">
        <v>166141</v>
      </c>
      <c r="AV5" s="11">
        <f>AW5-AU5</f>
        <v>184428</v>
      </c>
      <c r="AW5" s="11">
        <v>350569</v>
      </c>
      <c r="AX5" s="11">
        <v>251617</v>
      </c>
      <c r="AY5" s="11">
        <f>AZ5-AX5</f>
        <v>210049</v>
      </c>
      <c r="AZ5" s="11">
        <v>461666</v>
      </c>
      <c r="BA5" s="11"/>
      <c r="BB5" s="11">
        <f>BC5-BA5</f>
        <v>0</v>
      </c>
      <c r="BC5" s="11"/>
      <c r="BD5" s="11">
        <v>4</v>
      </c>
      <c r="BE5" s="11">
        <f>BF5-BD5</f>
        <v>63</v>
      </c>
      <c r="BF5" s="11">
        <v>67</v>
      </c>
      <c r="BG5" s="11">
        <v>71718</v>
      </c>
      <c r="BH5" s="11">
        <f>BI5-BG5</f>
        <v>102339</v>
      </c>
      <c r="BI5" s="11">
        <v>174057</v>
      </c>
      <c r="BJ5" s="11"/>
      <c r="BK5" s="11">
        <f>BL5-BJ5</f>
        <v>16982</v>
      </c>
      <c r="BL5" s="11">
        <v>16982</v>
      </c>
      <c r="BM5" s="11">
        <v>20850</v>
      </c>
      <c r="BN5" s="11">
        <f>BO5-BM5</f>
        <v>23974</v>
      </c>
      <c r="BO5" s="11">
        <v>44824</v>
      </c>
      <c r="BP5" s="11"/>
      <c r="BQ5" s="11">
        <f>BR5-BP5</f>
        <v>0</v>
      </c>
      <c r="BR5" s="11"/>
      <c r="BS5" s="11">
        <v>63483</v>
      </c>
      <c r="BT5" s="11">
        <f>BU5-BS5</f>
        <v>10467</v>
      </c>
      <c r="BU5" s="11">
        <v>73950</v>
      </c>
      <c r="BV5" s="11"/>
      <c r="BW5" s="11">
        <f>BX5-BV5</f>
        <v>33746</v>
      </c>
      <c r="BX5" s="11">
        <v>33746</v>
      </c>
      <c r="BY5" s="11">
        <v>14990</v>
      </c>
      <c r="BZ5" s="11">
        <f>CA5-BY5</f>
        <v>45468</v>
      </c>
      <c r="CA5" s="11">
        <v>60458</v>
      </c>
      <c r="CB5" s="11">
        <v>206071</v>
      </c>
      <c r="CC5" s="11">
        <f>CD5-CB5</f>
        <v>325074</v>
      </c>
      <c r="CD5" s="11">
        <v>531145</v>
      </c>
      <c r="CE5" s="11">
        <v>5625</v>
      </c>
      <c r="CF5" s="11">
        <f>CG5-CE5</f>
        <v>6037</v>
      </c>
      <c r="CG5" s="11">
        <v>11662</v>
      </c>
    </row>
    <row r="6" spans="1:85" x14ac:dyDescent="0.25">
      <c r="A6" s="11" t="s">
        <v>162</v>
      </c>
      <c r="B6" s="11"/>
      <c r="C6" s="11">
        <f t="shared" ref="C6:C14" si="0">D6-B6</f>
        <v>14948249</v>
      </c>
      <c r="D6" s="11">
        <v>14948249</v>
      </c>
      <c r="E6" s="11"/>
      <c r="F6" s="11">
        <f t="shared" ref="F6:F14" si="1">G6-E6</f>
        <v>171820</v>
      </c>
      <c r="G6" s="11">
        <v>171820</v>
      </c>
      <c r="H6" s="11">
        <v>3449</v>
      </c>
      <c r="I6" s="11">
        <f t="shared" ref="I6:I14" si="2">J6-H6</f>
        <v>217332</v>
      </c>
      <c r="J6" s="11">
        <v>220781</v>
      </c>
      <c r="K6" s="11">
        <v>1246</v>
      </c>
      <c r="L6" s="11">
        <f t="shared" ref="L6:L14" si="3">M6-K6</f>
        <v>61688</v>
      </c>
      <c r="M6" s="11">
        <v>62934</v>
      </c>
      <c r="N6" s="11">
        <v>4413</v>
      </c>
      <c r="O6" s="11">
        <f t="shared" ref="O6:O7" si="4">P6-N6</f>
        <v>38112</v>
      </c>
      <c r="P6" s="11">
        <v>42525</v>
      </c>
      <c r="Q6" s="11"/>
      <c r="R6" s="11">
        <f t="shared" ref="R6:R14" si="5">S6-Q6</f>
        <v>7971</v>
      </c>
      <c r="S6" s="11">
        <v>7971</v>
      </c>
      <c r="T6" s="11"/>
      <c r="U6" s="11">
        <f t="shared" ref="U6:U14" si="6">V6-T6</f>
        <v>433</v>
      </c>
      <c r="V6" s="11">
        <v>433</v>
      </c>
      <c r="W6" s="11">
        <v>1004</v>
      </c>
      <c r="X6" s="11">
        <f t="shared" ref="X6:X14" si="7">Y6-W6</f>
        <v>54260</v>
      </c>
      <c r="Y6" s="11">
        <v>55264</v>
      </c>
      <c r="Z6" s="11">
        <v>407</v>
      </c>
      <c r="AA6" s="11">
        <f t="shared" ref="AA6:AA14" si="8">AB6-Z6</f>
        <v>13797</v>
      </c>
      <c r="AB6" s="11">
        <v>14204</v>
      </c>
      <c r="AC6" s="11">
        <v>6236</v>
      </c>
      <c r="AD6" s="11">
        <f t="shared" ref="AD6:AD14" si="9">AE6-AC6</f>
        <v>381628</v>
      </c>
      <c r="AE6" s="11">
        <v>387864</v>
      </c>
      <c r="AF6" s="11">
        <v>17073</v>
      </c>
      <c r="AG6" s="11">
        <f t="shared" ref="AG6:AG14" si="10">AH6-AF6</f>
        <v>632090</v>
      </c>
      <c r="AH6" s="11">
        <v>649163</v>
      </c>
      <c r="AI6" s="11"/>
      <c r="AJ6" s="11">
        <f t="shared" ref="AJ6:AJ14" si="11">AK6-AI6</f>
        <v>26</v>
      </c>
      <c r="AK6" s="11">
        <v>26</v>
      </c>
      <c r="AL6" s="11">
        <v>134</v>
      </c>
      <c r="AM6" s="11">
        <f t="shared" ref="AM6:AM14" si="12">AN6-AL6</f>
        <v>23681</v>
      </c>
      <c r="AN6" s="11">
        <v>23815</v>
      </c>
      <c r="AO6" s="11">
        <v>758</v>
      </c>
      <c r="AP6" s="11">
        <f t="shared" ref="AP6:AP14" si="13">AQ6-AO6</f>
        <v>6869</v>
      </c>
      <c r="AQ6" s="11">
        <v>7627</v>
      </c>
      <c r="AR6" s="11"/>
      <c r="AS6" s="11">
        <f t="shared" ref="AS6:AS14" si="14">AT6-AR6</f>
        <v>60275</v>
      </c>
      <c r="AT6" s="11">
        <v>60275</v>
      </c>
      <c r="AU6" s="11">
        <v>20829</v>
      </c>
      <c r="AV6" s="11">
        <f t="shared" ref="AV6:AV14" si="15">AW6-AU6</f>
        <v>389020</v>
      </c>
      <c r="AW6" s="11">
        <v>409849</v>
      </c>
      <c r="AX6" s="11">
        <v>31187</v>
      </c>
      <c r="AY6" s="11">
        <f t="shared" ref="AY6:AY14" si="16">AZ6-AX6</f>
        <v>601714</v>
      </c>
      <c r="AZ6" s="11">
        <v>632901</v>
      </c>
      <c r="BA6" s="11"/>
      <c r="BB6" s="11">
        <f t="shared" ref="BB6:BB14" si="17">BC6-BA6</f>
        <v>0</v>
      </c>
      <c r="BC6" s="11"/>
      <c r="BD6" s="11">
        <v>1</v>
      </c>
      <c r="BE6" s="11">
        <f t="shared" ref="BE6:BE14" si="18">BF6-BD6</f>
        <v>23</v>
      </c>
      <c r="BF6" s="11">
        <v>24</v>
      </c>
      <c r="BG6" s="11">
        <v>5234</v>
      </c>
      <c r="BH6" s="11">
        <f t="shared" ref="BH6:BH14" si="19">BI6-BG6</f>
        <v>218715</v>
      </c>
      <c r="BI6" s="11">
        <v>223949</v>
      </c>
      <c r="BJ6" s="11"/>
      <c r="BK6" s="11">
        <f t="shared" ref="BK6:BK14" si="20">BL6-BJ6</f>
        <v>43084</v>
      </c>
      <c r="BL6" s="11">
        <v>43084</v>
      </c>
      <c r="BM6" s="11">
        <v>2417</v>
      </c>
      <c r="BN6" s="11">
        <f t="shared" ref="BN6:BN14" si="21">BO6-BM6</f>
        <v>85186</v>
      </c>
      <c r="BO6" s="11">
        <v>87603</v>
      </c>
      <c r="BP6" s="11"/>
      <c r="BQ6" s="11">
        <f t="shared" ref="BQ6:BQ14" si="22">BR6-BP6</f>
        <v>0</v>
      </c>
      <c r="BR6" s="11"/>
      <c r="BS6" s="11">
        <v>6481</v>
      </c>
      <c r="BT6" s="11">
        <f t="shared" ref="BT6:BT14" si="23">BU6-BS6</f>
        <v>19359</v>
      </c>
      <c r="BU6" s="11">
        <v>25840</v>
      </c>
      <c r="BV6" s="11"/>
      <c r="BW6" s="11">
        <f t="shared" ref="BW6:BW14" si="24">BX6-BV6</f>
        <v>94044</v>
      </c>
      <c r="BX6" s="11">
        <v>94044</v>
      </c>
      <c r="BY6" s="11">
        <v>2671</v>
      </c>
      <c r="BZ6" s="11">
        <f t="shared" ref="BZ6:BZ14" si="25">CA6-BY6</f>
        <v>137590</v>
      </c>
      <c r="CA6" s="11">
        <v>140261</v>
      </c>
      <c r="CB6" s="11">
        <v>46169</v>
      </c>
      <c r="CC6" s="11">
        <f t="shared" ref="CC6:CC14" si="26">CD6-CB6</f>
        <v>869504</v>
      </c>
      <c r="CD6" s="11">
        <v>915673</v>
      </c>
      <c r="CE6" s="11">
        <v>1826</v>
      </c>
      <c r="CF6" s="11">
        <f t="shared" ref="CF6:CF14" si="27">CG6-CE6</f>
        <v>109786</v>
      </c>
      <c r="CG6" s="11">
        <v>111612</v>
      </c>
    </row>
    <row r="7" spans="1:85" x14ac:dyDescent="0.25">
      <c r="A7" s="11" t="s">
        <v>163</v>
      </c>
      <c r="B7" s="11"/>
      <c r="C7" s="11">
        <f t="shared" si="0"/>
        <v>10315578</v>
      </c>
      <c r="D7" s="11">
        <v>10315578</v>
      </c>
      <c r="E7" s="11"/>
      <c r="F7" s="11">
        <f t="shared" si="1"/>
        <v>151239</v>
      </c>
      <c r="G7" s="11">
        <v>151239</v>
      </c>
      <c r="H7" s="11">
        <v>5072</v>
      </c>
      <c r="I7" s="11">
        <f t="shared" si="2"/>
        <v>226664</v>
      </c>
      <c r="J7" s="11">
        <v>231736</v>
      </c>
      <c r="K7" s="11">
        <v>578</v>
      </c>
      <c r="L7" s="11">
        <f t="shared" si="3"/>
        <v>59434</v>
      </c>
      <c r="M7" s="11">
        <v>60012</v>
      </c>
      <c r="N7" s="11">
        <v>4715</v>
      </c>
      <c r="O7" s="11">
        <f t="shared" si="4"/>
        <v>35542</v>
      </c>
      <c r="P7" s="11">
        <v>40257</v>
      </c>
      <c r="Q7" s="11"/>
      <c r="R7" s="11">
        <f t="shared" si="5"/>
        <v>7825</v>
      </c>
      <c r="S7" s="11">
        <v>7825</v>
      </c>
      <c r="T7" s="11"/>
      <c r="U7" s="11">
        <f t="shared" si="6"/>
        <v>280</v>
      </c>
      <c r="V7" s="11">
        <v>280</v>
      </c>
      <c r="W7" s="11">
        <v>914</v>
      </c>
      <c r="X7" s="11">
        <f t="shared" si="7"/>
        <v>56144</v>
      </c>
      <c r="Y7" s="11">
        <v>57058</v>
      </c>
      <c r="Z7" s="11">
        <v>232</v>
      </c>
      <c r="AA7" s="11">
        <f t="shared" si="8"/>
        <v>13545</v>
      </c>
      <c r="AB7" s="11">
        <v>13777</v>
      </c>
      <c r="AC7" s="11">
        <v>3848</v>
      </c>
      <c r="AD7" s="11">
        <f t="shared" si="9"/>
        <v>361076</v>
      </c>
      <c r="AE7" s="11">
        <v>364924</v>
      </c>
      <c r="AF7" s="11">
        <v>19149</v>
      </c>
      <c r="AG7" s="11">
        <f t="shared" si="10"/>
        <v>616904</v>
      </c>
      <c r="AH7" s="11">
        <v>636053</v>
      </c>
      <c r="AI7" s="11"/>
      <c r="AJ7" s="11">
        <f t="shared" si="11"/>
        <v>8</v>
      </c>
      <c r="AK7" s="11">
        <v>8</v>
      </c>
      <c r="AL7" s="11">
        <v>18</v>
      </c>
      <c r="AM7" s="11">
        <f t="shared" si="12"/>
        <v>22259</v>
      </c>
      <c r="AN7" s="11">
        <v>22277</v>
      </c>
      <c r="AO7" s="11">
        <v>925</v>
      </c>
      <c r="AP7" s="11">
        <f t="shared" si="13"/>
        <v>7135</v>
      </c>
      <c r="AQ7" s="11">
        <v>8060</v>
      </c>
      <c r="AR7" s="11"/>
      <c r="AS7" s="11">
        <f t="shared" si="14"/>
        <v>52850</v>
      </c>
      <c r="AT7" s="11">
        <v>52850</v>
      </c>
      <c r="AU7" s="11">
        <v>22682</v>
      </c>
      <c r="AV7" s="11">
        <f t="shared" si="15"/>
        <v>390327</v>
      </c>
      <c r="AW7" s="11">
        <v>413009</v>
      </c>
      <c r="AX7" s="11">
        <v>39087</v>
      </c>
      <c r="AY7" s="11">
        <f t="shared" si="16"/>
        <v>658024</v>
      </c>
      <c r="AZ7" s="11">
        <v>697111</v>
      </c>
      <c r="BA7" s="11"/>
      <c r="BB7" s="11">
        <f t="shared" si="17"/>
        <v>0</v>
      </c>
      <c r="BC7" s="11"/>
      <c r="BD7" s="11">
        <v>3</v>
      </c>
      <c r="BE7" s="11">
        <f t="shared" si="18"/>
        <v>21</v>
      </c>
      <c r="BF7" s="11">
        <v>24</v>
      </c>
      <c r="BG7" s="11">
        <v>4581</v>
      </c>
      <c r="BH7" s="11">
        <f t="shared" si="19"/>
        <v>156274</v>
      </c>
      <c r="BI7" s="11">
        <v>160855</v>
      </c>
      <c r="BJ7" s="11"/>
      <c r="BK7" s="11">
        <f t="shared" si="20"/>
        <v>31831</v>
      </c>
      <c r="BL7" s="11">
        <v>31831</v>
      </c>
      <c r="BM7" s="11">
        <v>1785</v>
      </c>
      <c r="BN7" s="11">
        <f t="shared" si="21"/>
        <v>92809</v>
      </c>
      <c r="BO7" s="11">
        <v>94594</v>
      </c>
      <c r="BP7" s="11"/>
      <c r="BQ7" s="11">
        <f t="shared" si="22"/>
        <v>0</v>
      </c>
      <c r="BR7" s="11"/>
      <c r="BS7" s="11">
        <v>6618</v>
      </c>
      <c r="BT7" s="11">
        <f t="shared" si="23"/>
        <v>17514</v>
      </c>
      <c r="BU7" s="11">
        <v>24132</v>
      </c>
      <c r="BV7" s="11"/>
      <c r="BW7" s="11">
        <f t="shared" si="24"/>
        <v>83910</v>
      </c>
      <c r="BX7" s="11">
        <v>83910</v>
      </c>
      <c r="BY7" s="11">
        <v>1499</v>
      </c>
      <c r="BZ7" s="11">
        <f t="shared" si="25"/>
        <v>114274</v>
      </c>
      <c r="CA7" s="11">
        <v>115773</v>
      </c>
      <c r="CB7" s="11">
        <v>27005</v>
      </c>
      <c r="CC7" s="11">
        <f t="shared" si="26"/>
        <v>735109</v>
      </c>
      <c r="CD7" s="11">
        <v>762114</v>
      </c>
      <c r="CE7" s="11">
        <v>1991</v>
      </c>
      <c r="CF7" s="11">
        <f t="shared" si="27"/>
        <v>88245</v>
      </c>
      <c r="CG7" s="11">
        <v>90236</v>
      </c>
    </row>
    <row r="8" spans="1:85" x14ac:dyDescent="0.25">
      <c r="A8" s="11" t="s">
        <v>164</v>
      </c>
      <c r="B8" s="11"/>
      <c r="C8" s="11">
        <f t="shared" si="0"/>
        <v>4722</v>
      </c>
      <c r="D8" s="11">
        <v>4722</v>
      </c>
      <c r="E8" s="11"/>
      <c r="F8" s="11">
        <f t="shared" si="1"/>
        <v>11716</v>
      </c>
      <c r="G8" s="11">
        <v>11716</v>
      </c>
      <c r="H8" s="11">
        <v>776</v>
      </c>
      <c r="I8" s="11">
        <f t="shared" si="2"/>
        <v>8516</v>
      </c>
      <c r="J8" s="11">
        <v>9292</v>
      </c>
      <c r="K8" s="11">
        <v>0</v>
      </c>
      <c r="L8" s="11">
        <f t="shared" si="3"/>
        <v>956</v>
      </c>
      <c r="M8" s="11">
        <v>956</v>
      </c>
      <c r="N8" s="11">
        <v>1</v>
      </c>
      <c r="O8" s="11">
        <f t="shared" ref="O8:O14" si="28">P8-N8</f>
        <v>2620</v>
      </c>
      <c r="P8" s="11">
        <v>2621</v>
      </c>
      <c r="Q8" s="11"/>
      <c r="R8" s="11">
        <f t="shared" si="5"/>
        <v>566</v>
      </c>
      <c r="S8" s="11">
        <v>566</v>
      </c>
      <c r="T8" s="11"/>
      <c r="U8" s="11">
        <f t="shared" si="6"/>
        <v>303</v>
      </c>
      <c r="V8" s="11">
        <v>303</v>
      </c>
      <c r="W8" s="11">
        <v>0</v>
      </c>
      <c r="X8" s="11">
        <f t="shared" si="7"/>
        <v>0</v>
      </c>
      <c r="Y8" s="11">
        <v>0</v>
      </c>
      <c r="Z8" s="11">
        <v>0</v>
      </c>
      <c r="AA8" s="11">
        <f t="shared" si="8"/>
        <v>357</v>
      </c>
      <c r="AB8" s="11">
        <v>357</v>
      </c>
      <c r="AC8" s="11">
        <v>28</v>
      </c>
      <c r="AD8" s="11">
        <f t="shared" si="9"/>
        <v>11655</v>
      </c>
      <c r="AE8" s="11">
        <v>11683</v>
      </c>
      <c r="AF8" s="11">
        <v>0</v>
      </c>
      <c r="AG8" s="11">
        <f t="shared" si="10"/>
        <v>297</v>
      </c>
      <c r="AH8" s="11">
        <v>297</v>
      </c>
      <c r="AI8" s="11"/>
      <c r="AJ8" s="11">
        <f t="shared" si="11"/>
        <v>0</v>
      </c>
      <c r="AK8" s="11"/>
      <c r="AL8" s="11"/>
      <c r="AM8" s="11">
        <f t="shared" si="12"/>
        <v>2031</v>
      </c>
      <c r="AN8" s="11">
        <v>2031</v>
      </c>
      <c r="AO8" s="11">
        <v>0</v>
      </c>
      <c r="AP8" s="11">
        <f t="shared" si="13"/>
        <v>284</v>
      </c>
      <c r="AQ8" s="11">
        <v>284</v>
      </c>
      <c r="AR8" s="11"/>
      <c r="AS8" s="11">
        <f t="shared" si="14"/>
        <v>5936</v>
      </c>
      <c r="AT8" s="11">
        <v>5936</v>
      </c>
      <c r="AU8" s="11">
        <v>6378</v>
      </c>
      <c r="AV8" s="11">
        <f t="shared" si="15"/>
        <v>25709</v>
      </c>
      <c r="AW8" s="11">
        <v>32087</v>
      </c>
      <c r="AX8" s="11">
        <v>668</v>
      </c>
      <c r="AY8" s="11">
        <f t="shared" si="16"/>
        <v>5024</v>
      </c>
      <c r="AZ8" s="11">
        <v>5692</v>
      </c>
      <c r="BA8" s="11"/>
      <c r="BB8" s="11">
        <f t="shared" si="17"/>
        <v>0</v>
      </c>
      <c r="BC8" s="11"/>
      <c r="BD8" s="11"/>
      <c r="BE8" s="11">
        <f t="shared" si="18"/>
        <v>0</v>
      </c>
      <c r="BF8" s="11">
        <v>0</v>
      </c>
      <c r="BG8" s="11">
        <v>1133</v>
      </c>
      <c r="BH8" s="11">
        <f t="shared" si="19"/>
        <v>10106</v>
      </c>
      <c r="BI8" s="11">
        <v>11239</v>
      </c>
      <c r="BJ8" s="11"/>
      <c r="BK8" s="11">
        <f t="shared" si="20"/>
        <v>2379</v>
      </c>
      <c r="BL8" s="11">
        <v>2379</v>
      </c>
      <c r="BM8" s="11"/>
      <c r="BN8" s="11">
        <f t="shared" si="21"/>
        <v>2083</v>
      </c>
      <c r="BO8" s="11">
        <v>2083</v>
      </c>
      <c r="BP8" s="11"/>
      <c r="BQ8" s="11">
        <f t="shared" si="22"/>
        <v>0</v>
      </c>
      <c r="BR8" s="11"/>
      <c r="BS8" s="11">
        <v>1802</v>
      </c>
      <c r="BT8" s="11">
        <f t="shared" si="23"/>
        <v>2316</v>
      </c>
      <c r="BU8" s="11">
        <v>4118</v>
      </c>
      <c r="BV8" s="11"/>
      <c r="BW8" s="11">
        <f t="shared" si="24"/>
        <v>11506</v>
      </c>
      <c r="BX8" s="11">
        <v>11506</v>
      </c>
      <c r="BY8" s="11"/>
      <c r="BZ8" s="11">
        <f t="shared" si="25"/>
        <v>3968</v>
      </c>
      <c r="CA8" s="11">
        <v>3968</v>
      </c>
      <c r="CB8" s="11">
        <v>423</v>
      </c>
      <c r="CC8" s="11">
        <f t="shared" si="26"/>
        <v>85889</v>
      </c>
      <c r="CD8" s="11">
        <v>86312</v>
      </c>
      <c r="CE8" s="11">
        <v>39</v>
      </c>
      <c r="CF8" s="11">
        <f t="shared" si="27"/>
        <v>3221</v>
      </c>
      <c r="CG8" s="11">
        <v>3260</v>
      </c>
    </row>
    <row r="9" spans="1:85" x14ac:dyDescent="0.25">
      <c r="A9" s="11" t="s">
        <v>165</v>
      </c>
      <c r="B9" s="11"/>
      <c r="C9" s="11">
        <f t="shared" si="0"/>
        <v>215734</v>
      </c>
      <c r="D9" s="11">
        <v>215734</v>
      </c>
      <c r="E9" s="11"/>
      <c r="F9" s="11">
        <f t="shared" si="1"/>
        <v>7759</v>
      </c>
      <c r="G9" s="11">
        <v>7759</v>
      </c>
      <c r="H9" s="11">
        <v>441</v>
      </c>
      <c r="I9" s="11">
        <f t="shared" si="2"/>
        <v>19255</v>
      </c>
      <c r="J9" s="11">
        <v>19696</v>
      </c>
      <c r="K9" s="11">
        <v>0</v>
      </c>
      <c r="L9" s="11">
        <f t="shared" si="3"/>
        <v>4151</v>
      </c>
      <c r="M9" s="11">
        <v>4151</v>
      </c>
      <c r="N9" s="11">
        <v>1056</v>
      </c>
      <c r="O9" s="11">
        <f t="shared" si="28"/>
        <v>4617</v>
      </c>
      <c r="P9" s="11">
        <v>5673</v>
      </c>
      <c r="Q9" s="11"/>
      <c r="R9" s="11">
        <f t="shared" si="5"/>
        <v>0</v>
      </c>
      <c r="S9" s="11"/>
      <c r="T9" s="11"/>
      <c r="U9" s="11">
        <f t="shared" si="6"/>
        <v>0</v>
      </c>
      <c r="V9" s="11"/>
      <c r="W9" s="11">
        <v>0</v>
      </c>
      <c r="X9" s="11">
        <f t="shared" si="7"/>
        <v>0</v>
      </c>
      <c r="Y9" s="11">
        <v>0</v>
      </c>
      <c r="Z9" s="11">
        <v>0</v>
      </c>
      <c r="AA9" s="11">
        <f t="shared" si="8"/>
        <v>1454</v>
      </c>
      <c r="AB9" s="11">
        <v>1454</v>
      </c>
      <c r="AC9" s="11">
        <v>1670</v>
      </c>
      <c r="AD9" s="11">
        <f t="shared" si="9"/>
        <v>34184</v>
      </c>
      <c r="AE9" s="11">
        <v>35854</v>
      </c>
      <c r="AF9" s="11">
        <v>326</v>
      </c>
      <c r="AG9" s="11">
        <f t="shared" si="10"/>
        <v>18529</v>
      </c>
      <c r="AH9" s="11">
        <v>18855</v>
      </c>
      <c r="AI9" s="11"/>
      <c r="AJ9" s="11">
        <f t="shared" si="11"/>
        <v>5</v>
      </c>
      <c r="AK9" s="11">
        <v>5</v>
      </c>
      <c r="AL9" s="11">
        <v>3</v>
      </c>
      <c r="AM9" s="11">
        <f t="shared" si="12"/>
        <v>1043</v>
      </c>
      <c r="AN9" s="11">
        <v>1046</v>
      </c>
      <c r="AO9" s="11">
        <v>124</v>
      </c>
      <c r="AP9" s="11">
        <f t="shared" si="13"/>
        <v>1082</v>
      </c>
      <c r="AQ9" s="11">
        <v>1206</v>
      </c>
      <c r="AR9" s="11"/>
      <c r="AS9" s="11">
        <f t="shared" si="14"/>
        <v>2286</v>
      </c>
      <c r="AT9" s="11">
        <v>2286</v>
      </c>
      <c r="AU9" s="11">
        <v>4291</v>
      </c>
      <c r="AV9" s="11">
        <f t="shared" si="15"/>
        <v>22179</v>
      </c>
      <c r="AW9" s="11">
        <v>26470</v>
      </c>
      <c r="AX9" s="11"/>
      <c r="AY9" s="11">
        <f t="shared" si="16"/>
        <v>0</v>
      </c>
      <c r="AZ9" s="11"/>
      <c r="BA9" s="11"/>
      <c r="BB9" s="11">
        <f t="shared" si="17"/>
        <v>0</v>
      </c>
      <c r="BC9" s="11"/>
      <c r="BD9" s="11"/>
      <c r="BE9" s="11">
        <f t="shared" si="18"/>
        <v>0</v>
      </c>
      <c r="BF9" s="11">
        <v>0</v>
      </c>
      <c r="BG9" s="11">
        <v>402</v>
      </c>
      <c r="BH9" s="11">
        <f t="shared" si="19"/>
        <v>11163</v>
      </c>
      <c r="BI9" s="11">
        <v>11565</v>
      </c>
      <c r="BJ9" s="11"/>
      <c r="BK9" s="11">
        <f t="shared" si="20"/>
        <v>2890</v>
      </c>
      <c r="BL9" s="11">
        <v>2890</v>
      </c>
      <c r="BM9" s="11">
        <v>386</v>
      </c>
      <c r="BN9" s="11">
        <f t="shared" si="21"/>
        <v>3921</v>
      </c>
      <c r="BO9" s="11">
        <v>4307</v>
      </c>
      <c r="BP9" s="11"/>
      <c r="BQ9" s="11">
        <f t="shared" si="22"/>
        <v>0</v>
      </c>
      <c r="BR9" s="11"/>
      <c r="BS9" s="11">
        <v>1313</v>
      </c>
      <c r="BT9" s="11">
        <f t="shared" si="23"/>
        <v>1138</v>
      </c>
      <c r="BU9" s="11">
        <v>2451</v>
      </c>
      <c r="BV9" s="11"/>
      <c r="BW9" s="11">
        <f t="shared" si="24"/>
        <v>7223</v>
      </c>
      <c r="BX9" s="11">
        <v>7223</v>
      </c>
      <c r="BY9" s="11">
        <v>1616</v>
      </c>
      <c r="BZ9" s="11">
        <f t="shared" si="25"/>
        <v>18127</v>
      </c>
      <c r="CA9" s="11">
        <v>19743</v>
      </c>
      <c r="CB9" s="11">
        <v>18467</v>
      </c>
      <c r="CC9" s="11">
        <f t="shared" si="26"/>
        <v>19339</v>
      </c>
      <c r="CD9" s="11">
        <v>37806</v>
      </c>
      <c r="CE9" s="11">
        <v>293</v>
      </c>
      <c r="CF9" s="11">
        <f t="shared" si="27"/>
        <v>17999</v>
      </c>
      <c r="CG9" s="11">
        <v>18292</v>
      </c>
    </row>
    <row r="10" spans="1:85" x14ac:dyDescent="0.25">
      <c r="A10" s="11" t="s">
        <v>166</v>
      </c>
      <c r="B10" s="11"/>
      <c r="C10" s="11">
        <f t="shared" si="0"/>
        <v>12564361</v>
      </c>
      <c r="D10" s="11">
        <v>12564361</v>
      </c>
      <c r="E10" s="11"/>
      <c r="F10" s="11">
        <f t="shared" si="1"/>
        <v>9807</v>
      </c>
      <c r="G10" s="11">
        <v>9807</v>
      </c>
      <c r="H10" s="11">
        <v>46542</v>
      </c>
      <c r="I10" s="11">
        <f t="shared" si="2"/>
        <v>32093</v>
      </c>
      <c r="J10" s="11">
        <v>78635</v>
      </c>
      <c r="K10" s="11">
        <v>15494</v>
      </c>
      <c r="L10" s="11">
        <f t="shared" si="3"/>
        <v>19939</v>
      </c>
      <c r="M10" s="11">
        <v>35433</v>
      </c>
      <c r="N10" s="11">
        <v>27763</v>
      </c>
      <c r="O10" s="11">
        <f t="shared" si="28"/>
        <v>24630</v>
      </c>
      <c r="P10" s="11">
        <v>52393</v>
      </c>
      <c r="Q10" s="11"/>
      <c r="R10" s="11">
        <f t="shared" si="5"/>
        <v>71</v>
      </c>
      <c r="S10" s="11">
        <v>71</v>
      </c>
      <c r="T10" s="11"/>
      <c r="U10" s="11">
        <f t="shared" si="6"/>
        <v>0</v>
      </c>
      <c r="V10" s="11"/>
      <c r="W10" s="11">
        <v>6537</v>
      </c>
      <c r="X10" s="11">
        <f t="shared" si="7"/>
        <v>19665</v>
      </c>
      <c r="Y10" s="11">
        <v>26202</v>
      </c>
      <c r="Z10" s="11">
        <v>2239</v>
      </c>
      <c r="AA10" s="11">
        <f t="shared" si="8"/>
        <v>3894</v>
      </c>
      <c r="AB10" s="11">
        <v>6133</v>
      </c>
      <c r="AC10" s="11">
        <v>61981</v>
      </c>
      <c r="AD10" s="11">
        <f t="shared" si="9"/>
        <v>120946</v>
      </c>
      <c r="AE10" s="11">
        <v>182927</v>
      </c>
      <c r="AF10" s="11">
        <v>32518</v>
      </c>
      <c r="AG10" s="11">
        <f t="shared" si="10"/>
        <v>53035</v>
      </c>
      <c r="AH10" s="11">
        <v>85553</v>
      </c>
      <c r="AI10" s="11"/>
      <c r="AJ10" s="11">
        <f t="shared" si="11"/>
        <v>13</v>
      </c>
      <c r="AK10" s="11">
        <v>13</v>
      </c>
      <c r="AL10" s="11">
        <v>501</v>
      </c>
      <c r="AM10" s="11">
        <f t="shared" si="12"/>
        <v>4185</v>
      </c>
      <c r="AN10" s="11">
        <v>4686</v>
      </c>
      <c r="AO10" s="11">
        <v>3753</v>
      </c>
      <c r="AP10" s="11">
        <f t="shared" si="13"/>
        <v>2046</v>
      </c>
      <c r="AQ10" s="11">
        <v>5799</v>
      </c>
      <c r="AR10" s="11"/>
      <c r="AS10" s="11">
        <f t="shared" si="14"/>
        <v>2132</v>
      </c>
      <c r="AT10" s="11">
        <v>2132</v>
      </c>
      <c r="AU10" s="11">
        <v>153619</v>
      </c>
      <c r="AV10" s="11">
        <f t="shared" si="15"/>
        <v>135233</v>
      </c>
      <c r="AW10" s="11">
        <v>288852</v>
      </c>
      <c r="AX10" s="11">
        <v>243049</v>
      </c>
      <c r="AY10" s="11">
        <f t="shared" si="16"/>
        <v>148715</v>
      </c>
      <c r="AZ10" s="11">
        <v>391764</v>
      </c>
      <c r="BA10" s="11"/>
      <c r="BB10" s="11">
        <f t="shared" si="17"/>
        <v>0</v>
      </c>
      <c r="BC10" s="11"/>
      <c r="BD10" s="11">
        <v>4</v>
      </c>
      <c r="BE10" s="11">
        <f t="shared" si="18"/>
        <v>68</v>
      </c>
      <c r="BF10" s="11">
        <v>72</v>
      </c>
      <c r="BG10" s="11">
        <v>70836</v>
      </c>
      <c r="BH10" s="11">
        <f t="shared" si="19"/>
        <v>143511</v>
      </c>
      <c r="BI10" s="11">
        <v>214347</v>
      </c>
      <c r="BJ10" s="11"/>
      <c r="BK10" s="11">
        <f t="shared" si="20"/>
        <v>22966</v>
      </c>
      <c r="BL10" s="11">
        <v>22966</v>
      </c>
      <c r="BM10" s="11">
        <v>21096</v>
      </c>
      <c r="BN10" s="11">
        <f t="shared" si="21"/>
        <v>10481</v>
      </c>
      <c r="BO10" s="11">
        <v>31577</v>
      </c>
      <c r="BP10" s="11"/>
      <c r="BQ10" s="11">
        <f t="shared" si="22"/>
        <v>0</v>
      </c>
      <c r="BR10" s="11"/>
      <c r="BS10" s="11">
        <v>60231</v>
      </c>
      <c r="BT10" s="11">
        <f t="shared" si="23"/>
        <v>8858</v>
      </c>
      <c r="BU10" s="11">
        <v>69089</v>
      </c>
      <c r="BV10" s="11"/>
      <c r="BW10" s="11">
        <f t="shared" si="24"/>
        <v>25151</v>
      </c>
      <c r="BX10" s="11">
        <v>25151</v>
      </c>
      <c r="BY10" s="11">
        <v>14546</v>
      </c>
      <c r="BZ10" s="11">
        <f t="shared" si="25"/>
        <v>46689</v>
      </c>
      <c r="CA10" s="11">
        <v>61235</v>
      </c>
      <c r="CB10" s="11">
        <v>206345</v>
      </c>
      <c r="CC10" s="11">
        <f t="shared" si="26"/>
        <v>354213</v>
      </c>
      <c r="CD10" s="11">
        <v>560558</v>
      </c>
      <c r="CE10" s="11">
        <v>5128</v>
      </c>
      <c r="CF10" s="11">
        <f t="shared" si="27"/>
        <v>6358</v>
      </c>
      <c r="CG10" s="11">
        <v>11486</v>
      </c>
    </row>
    <row r="11" spans="1:85" x14ac:dyDescent="0.25">
      <c r="A11" s="11" t="s">
        <v>167</v>
      </c>
      <c r="B11" s="11"/>
      <c r="C11" s="11">
        <f t="shared" si="0"/>
        <v>9160387</v>
      </c>
      <c r="D11" s="11">
        <v>9160387</v>
      </c>
      <c r="E11" s="11"/>
      <c r="F11" s="11">
        <f t="shared" si="1"/>
        <v>9807</v>
      </c>
      <c r="G11" s="11">
        <v>9807</v>
      </c>
      <c r="H11" s="11">
        <v>3257</v>
      </c>
      <c r="I11" s="11">
        <f t="shared" si="2"/>
        <v>17019</v>
      </c>
      <c r="J11" s="11">
        <v>20276</v>
      </c>
      <c r="K11" s="11">
        <v>1787</v>
      </c>
      <c r="L11" s="11">
        <f t="shared" si="3"/>
        <v>14423</v>
      </c>
      <c r="M11" s="11">
        <v>16210</v>
      </c>
      <c r="N11" s="11">
        <v>4161</v>
      </c>
      <c r="O11" s="11">
        <f t="shared" si="28"/>
        <v>22062</v>
      </c>
      <c r="P11" s="11">
        <v>26223</v>
      </c>
      <c r="Q11" s="11"/>
      <c r="R11" s="11">
        <f t="shared" si="5"/>
        <v>68</v>
      </c>
      <c r="S11" s="11">
        <v>68</v>
      </c>
      <c r="T11" s="11"/>
      <c r="U11" s="11">
        <f t="shared" si="6"/>
        <v>250</v>
      </c>
      <c r="V11" s="11">
        <v>250</v>
      </c>
      <c r="W11" s="11">
        <v>843</v>
      </c>
      <c r="X11" s="11">
        <f t="shared" si="7"/>
        <v>12673</v>
      </c>
      <c r="Y11" s="11">
        <v>13516</v>
      </c>
      <c r="Z11" s="11">
        <v>372</v>
      </c>
      <c r="AA11" s="11">
        <f t="shared" si="8"/>
        <v>2604</v>
      </c>
      <c r="AB11" s="11">
        <v>2976</v>
      </c>
      <c r="AC11" s="11">
        <v>5599</v>
      </c>
      <c r="AD11" s="11">
        <f t="shared" si="9"/>
        <v>108691</v>
      </c>
      <c r="AE11" s="11">
        <v>114290</v>
      </c>
      <c r="AF11" s="11">
        <v>2590</v>
      </c>
      <c r="AG11" s="11">
        <f t="shared" si="10"/>
        <v>35624</v>
      </c>
      <c r="AH11" s="11">
        <v>38214</v>
      </c>
      <c r="AI11" s="11"/>
      <c r="AJ11" s="11">
        <f t="shared" si="11"/>
        <v>13</v>
      </c>
      <c r="AK11" s="11">
        <v>13</v>
      </c>
      <c r="AL11" s="11">
        <v>128</v>
      </c>
      <c r="AM11" s="11">
        <f t="shared" si="12"/>
        <v>2921</v>
      </c>
      <c r="AN11" s="11">
        <v>3049</v>
      </c>
      <c r="AO11" s="11">
        <v>700</v>
      </c>
      <c r="AP11" s="11">
        <f t="shared" si="13"/>
        <v>1284</v>
      </c>
      <c r="AQ11" s="11">
        <v>1984</v>
      </c>
      <c r="AR11" s="11"/>
      <c r="AS11" s="11">
        <f t="shared" si="14"/>
        <v>2072</v>
      </c>
      <c r="AT11" s="11">
        <v>2072</v>
      </c>
      <c r="AU11" s="11">
        <v>13015</v>
      </c>
      <c r="AV11" s="11">
        <f t="shared" si="15"/>
        <v>66189</v>
      </c>
      <c r="AW11" s="11">
        <v>79204</v>
      </c>
      <c r="AX11" s="11">
        <f>5023+6856</f>
        <v>11879</v>
      </c>
      <c r="AY11" s="11">
        <f t="shared" si="16"/>
        <v>76692</v>
      </c>
      <c r="AZ11" s="11">
        <f>55866+32705</f>
        <v>88571</v>
      </c>
      <c r="BA11" s="11"/>
      <c r="BB11" s="11">
        <f t="shared" si="17"/>
        <v>0</v>
      </c>
      <c r="BC11" s="11"/>
      <c r="BD11" s="11">
        <v>1</v>
      </c>
      <c r="BE11" s="11">
        <f t="shared" si="18"/>
        <v>11</v>
      </c>
      <c r="BF11" s="11">
        <v>12</v>
      </c>
      <c r="BG11" s="11">
        <v>4064</v>
      </c>
      <c r="BH11" s="11">
        <f t="shared" si="19"/>
        <v>130805</v>
      </c>
      <c r="BI11" s="11">
        <v>134869</v>
      </c>
      <c r="BJ11" s="11"/>
      <c r="BK11" s="11">
        <f t="shared" si="20"/>
        <v>22361</v>
      </c>
      <c r="BL11" s="11">
        <v>22361</v>
      </c>
      <c r="BM11" s="11">
        <v>2208</v>
      </c>
      <c r="BN11" s="11">
        <f t="shared" si="21"/>
        <v>7492</v>
      </c>
      <c r="BO11" s="11">
        <v>9700</v>
      </c>
      <c r="BP11" s="11"/>
      <c r="BQ11" s="11">
        <f t="shared" si="22"/>
        <v>0</v>
      </c>
      <c r="BR11" s="11"/>
      <c r="BS11" s="11">
        <v>4907</v>
      </c>
      <c r="BT11" s="11">
        <f t="shared" si="23"/>
        <v>5672</v>
      </c>
      <c r="BU11" s="11">
        <v>10579</v>
      </c>
      <c r="BV11" s="11"/>
      <c r="BW11" s="11">
        <f t="shared" si="24"/>
        <v>23732</v>
      </c>
      <c r="BX11" s="11">
        <v>23732</v>
      </c>
      <c r="BY11" s="11">
        <v>1599</v>
      </c>
      <c r="BZ11" s="11">
        <f t="shared" si="25"/>
        <v>33569</v>
      </c>
      <c r="CA11" s="11">
        <v>35168</v>
      </c>
      <c r="CB11" s="11">
        <v>21990</v>
      </c>
      <c r="CC11" s="11">
        <f t="shared" si="26"/>
        <v>275515</v>
      </c>
      <c r="CD11" s="11">
        <v>297505</v>
      </c>
      <c r="CE11" s="11">
        <v>342</v>
      </c>
      <c r="CF11" s="11">
        <f t="shared" si="27"/>
        <v>5368</v>
      </c>
      <c r="CG11" s="11">
        <v>5710</v>
      </c>
    </row>
    <row r="12" spans="1:85" x14ac:dyDescent="0.25">
      <c r="A12" s="11" t="s">
        <v>168</v>
      </c>
      <c r="B12" s="11"/>
      <c r="C12" s="11">
        <f t="shared" si="0"/>
        <v>1146881</v>
      </c>
      <c r="D12" s="11">
        <v>1146881</v>
      </c>
      <c r="E12" s="11"/>
      <c r="F12" s="11">
        <f t="shared" si="1"/>
        <v>0</v>
      </c>
      <c r="G12" s="11"/>
      <c r="H12" s="11">
        <v>2489</v>
      </c>
      <c r="I12" s="11">
        <f t="shared" si="2"/>
        <v>3584</v>
      </c>
      <c r="J12" s="11">
        <v>6073</v>
      </c>
      <c r="K12" s="11">
        <v>1253</v>
      </c>
      <c r="L12" s="11">
        <f t="shared" si="3"/>
        <v>2567</v>
      </c>
      <c r="M12" s="11">
        <v>3820</v>
      </c>
      <c r="N12" s="11">
        <v>2619</v>
      </c>
      <c r="O12" s="11">
        <f t="shared" si="28"/>
        <v>1199</v>
      </c>
      <c r="P12" s="11">
        <v>3818</v>
      </c>
      <c r="Q12" s="11"/>
      <c r="R12" s="11">
        <f t="shared" si="5"/>
        <v>3</v>
      </c>
      <c r="S12" s="11">
        <v>3</v>
      </c>
      <c r="T12" s="11"/>
      <c r="U12" s="11">
        <f t="shared" si="6"/>
        <v>85</v>
      </c>
      <c r="V12" s="11">
        <v>85</v>
      </c>
      <c r="W12" s="11">
        <v>390</v>
      </c>
      <c r="X12" s="11">
        <f t="shared" si="7"/>
        <v>3649</v>
      </c>
      <c r="Y12" s="11">
        <v>4039</v>
      </c>
      <c r="Z12" s="11">
        <v>248</v>
      </c>
      <c r="AA12" s="11">
        <f t="shared" si="8"/>
        <v>592</v>
      </c>
      <c r="AB12" s="11">
        <v>840</v>
      </c>
      <c r="AC12" s="11">
        <v>4525</v>
      </c>
      <c r="AD12" s="11">
        <f t="shared" si="9"/>
        <v>6412</v>
      </c>
      <c r="AE12" s="11">
        <v>10937</v>
      </c>
      <c r="AF12" s="11">
        <v>2848</v>
      </c>
      <c r="AG12" s="11">
        <f t="shared" si="10"/>
        <v>9914</v>
      </c>
      <c r="AH12" s="11">
        <v>12762</v>
      </c>
      <c r="AI12" s="11"/>
      <c r="AJ12" s="11">
        <f t="shared" si="11"/>
        <v>0</v>
      </c>
      <c r="AK12" s="11"/>
      <c r="AL12" s="11">
        <v>115</v>
      </c>
      <c r="AM12" s="11">
        <f t="shared" si="12"/>
        <v>811</v>
      </c>
      <c r="AN12" s="11">
        <v>926</v>
      </c>
      <c r="AO12" s="11">
        <v>548</v>
      </c>
      <c r="AP12" s="11">
        <f t="shared" si="13"/>
        <v>349</v>
      </c>
      <c r="AQ12" s="11">
        <v>897</v>
      </c>
      <c r="AR12" s="11"/>
      <c r="AS12" s="11">
        <f t="shared" si="14"/>
        <v>55</v>
      </c>
      <c r="AT12" s="11">
        <v>55</v>
      </c>
      <c r="AU12" s="11">
        <v>12633</v>
      </c>
      <c r="AV12" s="11">
        <f t="shared" si="15"/>
        <v>36449</v>
      </c>
      <c r="AW12" s="11">
        <v>49082</v>
      </c>
      <c r="AX12" s="11">
        <v>7850</v>
      </c>
      <c r="AY12" s="11">
        <f t="shared" si="16"/>
        <v>11481</v>
      </c>
      <c r="AZ12" s="11">
        <v>19331</v>
      </c>
      <c r="BA12" s="11"/>
      <c r="BB12" s="11">
        <f t="shared" si="17"/>
        <v>0</v>
      </c>
      <c r="BC12" s="11"/>
      <c r="BD12" s="11"/>
      <c r="BE12" s="11">
        <f t="shared" si="18"/>
        <v>9</v>
      </c>
      <c r="BF12" s="11">
        <v>9</v>
      </c>
      <c r="BG12" s="11">
        <v>3527</v>
      </c>
      <c r="BH12" s="11">
        <f t="shared" si="19"/>
        <v>3638</v>
      </c>
      <c r="BI12" s="11">
        <v>7165</v>
      </c>
      <c r="BJ12" s="11"/>
      <c r="BK12" s="11">
        <f t="shared" si="20"/>
        <v>567</v>
      </c>
      <c r="BL12" s="11">
        <v>567</v>
      </c>
      <c r="BM12" s="11">
        <v>1416</v>
      </c>
      <c r="BN12" s="11">
        <f t="shared" si="21"/>
        <v>1331</v>
      </c>
      <c r="BO12" s="11">
        <v>2747</v>
      </c>
      <c r="BP12" s="11"/>
      <c r="BQ12" s="11">
        <f t="shared" si="22"/>
        <v>0</v>
      </c>
      <c r="BR12" s="11"/>
      <c r="BS12" s="11">
        <v>4184</v>
      </c>
      <c r="BT12" s="11">
        <f t="shared" si="23"/>
        <v>642</v>
      </c>
      <c r="BU12" s="11">
        <v>4826</v>
      </c>
      <c r="BV12" s="11"/>
      <c r="BW12" s="11">
        <f t="shared" si="24"/>
        <v>909</v>
      </c>
      <c r="BX12" s="11">
        <v>909</v>
      </c>
      <c r="BY12" s="11">
        <v>1689</v>
      </c>
      <c r="BZ12" s="11">
        <f t="shared" si="25"/>
        <v>7727</v>
      </c>
      <c r="CA12" s="11">
        <v>9416</v>
      </c>
      <c r="CB12" s="11">
        <v>9984</v>
      </c>
      <c r="CC12" s="11">
        <f t="shared" si="26"/>
        <v>20557</v>
      </c>
      <c r="CD12" s="11">
        <v>30541</v>
      </c>
      <c r="CE12" s="11">
        <v>369</v>
      </c>
      <c r="CF12" s="11">
        <f t="shared" si="27"/>
        <v>767</v>
      </c>
      <c r="CG12" s="11">
        <v>1136</v>
      </c>
    </row>
    <row r="13" spans="1:85" x14ac:dyDescent="0.25">
      <c r="A13" s="11" t="s">
        <v>169</v>
      </c>
      <c r="B13" s="11"/>
      <c r="C13" s="11">
        <f t="shared" si="0"/>
        <v>906478</v>
      </c>
      <c r="D13" s="11">
        <v>906478</v>
      </c>
      <c r="E13" s="11"/>
      <c r="F13" s="11">
        <f t="shared" si="1"/>
        <v>0</v>
      </c>
      <c r="G13" s="11"/>
      <c r="H13" s="11">
        <v>4367</v>
      </c>
      <c r="I13" s="11">
        <f t="shared" si="2"/>
        <v>2843</v>
      </c>
      <c r="J13" s="11">
        <v>7210</v>
      </c>
      <c r="K13" s="11">
        <v>2553</v>
      </c>
      <c r="L13" s="11">
        <f t="shared" si="3"/>
        <v>1311</v>
      </c>
      <c r="M13" s="11">
        <v>3864</v>
      </c>
      <c r="N13" s="11">
        <v>4458</v>
      </c>
      <c r="O13" s="11">
        <f t="shared" si="28"/>
        <v>478</v>
      </c>
      <c r="P13" s="11">
        <v>4936</v>
      </c>
      <c r="Q13" s="11"/>
      <c r="R13" s="11">
        <f t="shared" si="5"/>
        <v>0</v>
      </c>
      <c r="S13" s="11"/>
      <c r="T13" s="11"/>
      <c r="U13" s="11">
        <f t="shared" si="6"/>
        <v>122</v>
      </c>
      <c r="V13" s="11">
        <v>122</v>
      </c>
      <c r="W13" s="11">
        <v>853</v>
      </c>
      <c r="X13" s="11">
        <f t="shared" si="7"/>
        <v>1498</v>
      </c>
      <c r="Y13" s="11">
        <v>2351</v>
      </c>
      <c r="Z13" s="11">
        <v>459</v>
      </c>
      <c r="AA13" s="11">
        <f t="shared" si="8"/>
        <v>271</v>
      </c>
      <c r="AB13" s="11">
        <v>730</v>
      </c>
      <c r="AC13" s="11">
        <v>7438</v>
      </c>
      <c r="AD13" s="11">
        <f t="shared" si="9"/>
        <v>2035</v>
      </c>
      <c r="AE13" s="11">
        <v>9473</v>
      </c>
      <c r="AF13" s="11">
        <v>5322</v>
      </c>
      <c r="AG13" s="11">
        <f t="shared" si="10"/>
        <v>3129</v>
      </c>
      <c r="AH13" s="11">
        <v>8451</v>
      </c>
      <c r="AI13" s="11"/>
      <c r="AJ13" s="11">
        <f t="shared" si="11"/>
        <v>0</v>
      </c>
      <c r="AK13" s="11"/>
      <c r="AL13" s="11">
        <v>141</v>
      </c>
      <c r="AM13" s="11">
        <f t="shared" si="12"/>
        <v>240</v>
      </c>
      <c r="AN13" s="11">
        <v>381</v>
      </c>
      <c r="AO13" s="11">
        <v>1005</v>
      </c>
      <c r="AP13" s="11">
        <f t="shared" si="13"/>
        <v>292</v>
      </c>
      <c r="AQ13" s="11">
        <v>1297</v>
      </c>
      <c r="AR13" s="11"/>
      <c r="AS13" s="11">
        <f t="shared" si="14"/>
        <v>4</v>
      </c>
      <c r="AT13" s="11">
        <v>4</v>
      </c>
      <c r="AU13" s="11">
        <v>11596</v>
      </c>
      <c r="AV13" s="11">
        <f t="shared" si="15"/>
        <v>17337</v>
      </c>
      <c r="AW13" s="11">
        <v>28933</v>
      </c>
      <c r="AX13" s="11">
        <v>15832</v>
      </c>
      <c r="AY13" s="11">
        <f t="shared" si="16"/>
        <v>8647</v>
      </c>
      <c r="AZ13" s="11">
        <v>24479</v>
      </c>
      <c r="BA13" s="11"/>
      <c r="BB13" s="11">
        <f t="shared" si="17"/>
        <v>0</v>
      </c>
      <c r="BC13" s="11"/>
      <c r="BD13" s="11"/>
      <c r="BE13" s="11">
        <f t="shared" si="18"/>
        <v>33</v>
      </c>
      <c r="BF13" s="11">
        <v>33</v>
      </c>
      <c r="BG13" s="11">
        <v>7526</v>
      </c>
      <c r="BH13" s="11">
        <f t="shared" si="19"/>
        <v>2983</v>
      </c>
      <c r="BI13" s="11">
        <v>10509</v>
      </c>
      <c r="BJ13" s="11"/>
      <c r="BK13" s="11">
        <f t="shared" si="20"/>
        <v>38</v>
      </c>
      <c r="BL13" s="11">
        <v>38</v>
      </c>
      <c r="BM13" s="11">
        <v>2633</v>
      </c>
      <c r="BN13" s="11">
        <f t="shared" si="21"/>
        <v>726</v>
      </c>
      <c r="BO13" s="11">
        <v>3359</v>
      </c>
      <c r="BP13" s="11"/>
      <c r="BQ13" s="11">
        <f t="shared" si="22"/>
        <v>0</v>
      </c>
      <c r="BR13" s="11"/>
      <c r="BS13" s="11">
        <v>7908</v>
      </c>
      <c r="BT13" s="11">
        <f t="shared" si="23"/>
        <v>313</v>
      </c>
      <c r="BU13" s="11">
        <v>8221</v>
      </c>
      <c r="BV13" s="11"/>
      <c r="BW13" s="11">
        <f t="shared" si="24"/>
        <v>377</v>
      </c>
      <c r="BX13" s="11">
        <v>377</v>
      </c>
      <c r="BY13" s="11">
        <v>2838</v>
      </c>
      <c r="BZ13" s="11">
        <f t="shared" si="25"/>
        <v>2554</v>
      </c>
      <c r="CA13" s="11">
        <v>5392</v>
      </c>
      <c r="CB13" s="11">
        <v>19462</v>
      </c>
      <c r="CC13" s="11">
        <f t="shared" si="26"/>
        <v>26831</v>
      </c>
      <c r="CD13" s="11">
        <v>46293</v>
      </c>
      <c r="CE13" s="11">
        <v>696</v>
      </c>
      <c r="CF13" s="11">
        <f t="shared" si="27"/>
        <v>56</v>
      </c>
      <c r="CG13" s="11">
        <v>752</v>
      </c>
    </row>
    <row r="14" spans="1:85" x14ac:dyDescent="0.25">
      <c r="A14" s="11" t="s">
        <v>170</v>
      </c>
      <c r="B14" s="11"/>
      <c r="C14" s="11">
        <f t="shared" si="0"/>
        <v>1350615</v>
      </c>
      <c r="D14" s="11">
        <v>1350615</v>
      </c>
      <c r="E14" s="11"/>
      <c r="F14" s="11">
        <f t="shared" si="1"/>
        <v>0</v>
      </c>
      <c r="G14" s="11"/>
      <c r="H14" s="11">
        <v>36429</v>
      </c>
      <c r="I14" s="11">
        <f t="shared" si="2"/>
        <v>8647</v>
      </c>
      <c r="J14" s="11">
        <v>45076</v>
      </c>
      <c r="K14" s="11">
        <v>9901</v>
      </c>
      <c r="L14" s="11">
        <f t="shared" si="3"/>
        <v>1638</v>
      </c>
      <c r="M14" s="11">
        <v>11539</v>
      </c>
      <c r="N14" s="11">
        <v>16525</v>
      </c>
      <c r="O14" s="11">
        <f t="shared" si="28"/>
        <v>891</v>
      </c>
      <c r="P14" s="11">
        <v>17416</v>
      </c>
      <c r="Q14" s="11"/>
      <c r="R14" s="11">
        <f t="shared" si="5"/>
        <v>0</v>
      </c>
      <c r="S14" s="11"/>
      <c r="T14" s="11"/>
      <c r="U14" s="11">
        <f t="shared" si="6"/>
        <v>1</v>
      </c>
      <c r="V14" s="11">
        <v>1</v>
      </c>
      <c r="W14" s="11">
        <v>4451</v>
      </c>
      <c r="X14" s="11">
        <f t="shared" si="7"/>
        <v>1845</v>
      </c>
      <c r="Y14" s="11">
        <v>6296</v>
      </c>
      <c r="Z14" s="11">
        <v>1160</v>
      </c>
      <c r="AA14" s="11">
        <f t="shared" si="8"/>
        <v>427</v>
      </c>
      <c r="AB14" s="11">
        <v>1587</v>
      </c>
      <c r="AC14" s="11">
        <v>44419</v>
      </c>
      <c r="AD14" s="11">
        <f t="shared" si="9"/>
        <v>3808</v>
      </c>
      <c r="AE14" s="11">
        <v>48227</v>
      </c>
      <c r="AF14" s="11">
        <v>21758</v>
      </c>
      <c r="AG14" s="11">
        <f t="shared" si="10"/>
        <v>4368</v>
      </c>
      <c r="AH14" s="11">
        <v>26126</v>
      </c>
      <c r="AI14" s="11"/>
      <c r="AJ14" s="11">
        <f t="shared" si="11"/>
        <v>0</v>
      </c>
      <c r="AK14" s="11"/>
      <c r="AL14" s="11">
        <v>117</v>
      </c>
      <c r="AM14" s="11">
        <f t="shared" si="12"/>
        <v>213</v>
      </c>
      <c r="AN14" s="11">
        <v>330</v>
      </c>
      <c r="AO14" s="11">
        <v>1500</v>
      </c>
      <c r="AP14" s="11">
        <f t="shared" si="13"/>
        <v>121</v>
      </c>
      <c r="AQ14" s="11">
        <v>1621</v>
      </c>
      <c r="AR14" s="11"/>
      <c r="AS14" s="11">
        <f t="shared" si="14"/>
        <v>1</v>
      </c>
      <c r="AT14" s="11">
        <v>1</v>
      </c>
      <c r="AU14" s="11">
        <v>116375</v>
      </c>
      <c r="AV14" s="11">
        <f t="shared" si="15"/>
        <v>15258</v>
      </c>
      <c r="AW14" s="11">
        <v>131633</v>
      </c>
      <c r="AX14" s="11">
        <v>207488</v>
      </c>
      <c r="AY14" s="11">
        <f t="shared" si="16"/>
        <v>51895</v>
      </c>
      <c r="AZ14" s="11">
        <v>259383</v>
      </c>
      <c r="BA14" s="11"/>
      <c r="BB14" s="11">
        <f t="shared" si="17"/>
        <v>0</v>
      </c>
      <c r="BC14" s="11"/>
      <c r="BD14" s="11">
        <v>3</v>
      </c>
      <c r="BE14" s="11">
        <f t="shared" si="18"/>
        <v>15</v>
      </c>
      <c r="BF14" s="11">
        <v>18</v>
      </c>
      <c r="BG14" s="11">
        <v>55719</v>
      </c>
      <c r="BH14" s="11">
        <f t="shared" si="19"/>
        <v>6085</v>
      </c>
      <c r="BI14" s="11">
        <v>61804</v>
      </c>
      <c r="BJ14" s="11"/>
      <c r="BK14" s="11">
        <f t="shared" si="20"/>
        <v>0</v>
      </c>
      <c r="BL14" s="11"/>
      <c r="BM14" s="11">
        <v>14839</v>
      </c>
      <c r="BN14" s="11">
        <f t="shared" si="21"/>
        <v>932</v>
      </c>
      <c r="BO14" s="11">
        <v>15771</v>
      </c>
      <c r="BP14" s="11"/>
      <c r="BQ14" s="11">
        <f t="shared" si="22"/>
        <v>0</v>
      </c>
      <c r="BR14" s="11"/>
      <c r="BS14" s="11">
        <v>43232</v>
      </c>
      <c r="BT14" s="11">
        <f t="shared" si="23"/>
        <v>2231</v>
      </c>
      <c r="BU14" s="11">
        <v>45463</v>
      </c>
      <c r="BV14" s="11"/>
      <c r="BW14" s="11">
        <f t="shared" si="24"/>
        <v>133</v>
      </c>
      <c r="BX14" s="11">
        <v>133</v>
      </c>
      <c r="BY14" s="11">
        <v>8420</v>
      </c>
      <c r="BZ14" s="11">
        <f t="shared" si="25"/>
        <v>2839</v>
      </c>
      <c r="CA14" s="11">
        <v>11259</v>
      </c>
      <c r="CB14" s="11">
        <v>154909</v>
      </c>
      <c r="CC14" s="11">
        <f t="shared" si="26"/>
        <v>31310</v>
      </c>
      <c r="CD14" s="11">
        <v>186219</v>
      </c>
      <c r="CE14" s="11">
        <v>3721</v>
      </c>
      <c r="CF14" s="11">
        <f t="shared" si="27"/>
        <v>167</v>
      </c>
      <c r="CG14" s="11">
        <v>3888</v>
      </c>
    </row>
  </sheetData>
  <mergeCells count="28">
    <mergeCell ref="BY3:CA3"/>
    <mergeCell ref="CB3:CD3"/>
    <mergeCell ref="CE3:CG3"/>
    <mergeCell ref="BG3:BI3"/>
    <mergeCell ref="BJ3:BL3"/>
    <mergeCell ref="BM3:BO3"/>
    <mergeCell ref="BP3:BR3"/>
    <mergeCell ref="BS3:BU3"/>
    <mergeCell ref="BV3:BX3"/>
    <mergeCell ref="BD3:BF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W3:Y3"/>
    <mergeCell ref="B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39.28515625" customWidth="1"/>
    <col min="2" max="15" width="16" customWidth="1"/>
    <col min="16" max="16" width="16" style="52" customWidth="1"/>
    <col min="17" max="24" width="16" customWidth="1"/>
    <col min="25" max="25" width="16" style="94" customWidth="1"/>
    <col min="26" max="29" width="16" customWidth="1"/>
  </cols>
  <sheetData>
    <row r="1" spans="1:29" ht="18.75" x14ac:dyDescent="0.3">
      <c r="A1" s="21" t="s">
        <v>136</v>
      </c>
    </row>
    <row r="2" spans="1:29" x14ac:dyDescent="0.25">
      <c r="A2" s="1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92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95" t="s">
        <v>25</v>
      </c>
      <c r="Z2" s="19" t="s">
        <v>26</v>
      </c>
      <c r="AA2" s="19" t="s">
        <v>27</v>
      </c>
      <c r="AB2" s="2" t="s">
        <v>28</v>
      </c>
      <c r="AC2" s="19" t="s">
        <v>29</v>
      </c>
    </row>
    <row r="3" spans="1:29" x14ac:dyDescent="0.25">
      <c r="A3" s="14" t="s">
        <v>137</v>
      </c>
      <c r="B3" s="48">
        <v>0.2853</v>
      </c>
      <c r="C3" s="47">
        <v>0.27</v>
      </c>
      <c r="D3" s="48">
        <v>0.1152</v>
      </c>
      <c r="E3" s="47"/>
      <c r="F3" s="48">
        <v>0.29709999999999998</v>
      </c>
      <c r="G3" s="47">
        <v>5.59</v>
      </c>
      <c r="H3" s="48">
        <v>-3.0599999999999999E-2</v>
      </c>
      <c r="I3" s="47">
        <v>0.08</v>
      </c>
      <c r="J3" s="47">
        <v>0.43</v>
      </c>
      <c r="K3" s="47">
        <v>0.21</v>
      </c>
      <c r="L3" s="48">
        <v>0.1085</v>
      </c>
      <c r="M3" s="36"/>
      <c r="N3" s="47">
        <v>0.44</v>
      </c>
      <c r="O3" s="48">
        <v>-0.14710000000000001</v>
      </c>
      <c r="P3" s="23">
        <v>1.28</v>
      </c>
      <c r="Q3" s="49">
        <v>6.5263405010853259E-2</v>
      </c>
      <c r="R3" s="36">
        <v>14.75</v>
      </c>
      <c r="S3" s="36">
        <v>13.88</v>
      </c>
      <c r="T3" s="48">
        <v>0.32979999999999998</v>
      </c>
      <c r="U3" s="47">
        <v>0.03</v>
      </c>
      <c r="V3" s="36">
        <v>0.82</v>
      </c>
      <c r="W3" s="48">
        <v>0.08</v>
      </c>
      <c r="X3" s="48"/>
      <c r="Y3" s="96">
        <v>0.14000000000000001</v>
      </c>
      <c r="Z3" s="47">
        <v>0.37</v>
      </c>
      <c r="AA3" s="47">
        <v>0.09</v>
      </c>
      <c r="AB3" s="48">
        <v>0.14580000000000001</v>
      </c>
      <c r="AC3" s="48">
        <v>0.28910000000000002</v>
      </c>
    </row>
    <row r="4" spans="1:29" ht="15" customHeight="1" x14ac:dyDescent="0.25">
      <c r="A4" s="14" t="s">
        <v>138</v>
      </c>
      <c r="B4" s="36"/>
      <c r="C4" s="36"/>
      <c r="D4" s="47">
        <v>2.09</v>
      </c>
      <c r="E4" s="36"/>
      <c r="F4" s="48">
        <v>2.8751000000000002</v>
      </c>
      <c r="G4" s="36"/>
      <c r="H4" s="36"/>
      <c r="I4" s="36"/>
      <c r="J4" s="36">
        <v>3.34</v>
      </c>
      <c r="K4" s="36">
        <v>2.5499999999999998</v>
      </c>
      <c r="L4" s="36"/>
      <c r="M4" s="36">
        <v>0.03</v>
      </c>
      <c r="N4" s="36">
        <v>1.91</v>
      </c>
      <c r="O4" s="36">
        <v>1.84</v>
      </c>
      <c r="P4" s="23"/>
      <c r="Q4" s="36"/>
      <c r="R4" s="36"/>
      <c r="S4" s="36"/>
      <c r="T4" s="48">
        <v>0.1265</v>
      </c>
      <c r="U4" s="36"/>
      <c r="V4" s="36"/>
      <c r="W4" s="36">
        <v>2.97</v>
      </c>
      <c r="X4" s="36"/>
      <c r="Y4" s="96">
        <v>1.8</v>
      </c>
      <c r="Z4" s="23">
        <v>5.57</v>
      </c>
      <c r="AA4" s="36"/>
      <c r="AB4" s="48">
        <v>2.1375000000000002</v>
      </c>
      <c r="AC4" s="36"/>
    </row>
    <row r="5" spans="1:29" ht="15" customHeight="1" x14ac:dyDescent="0.25">
      <c r="A5" s="14" t="s">
        <v>139</v>
      </c>
      <c r="B5" s="36">
        <v>1.44</v>
      </c>
      <c r="C5" s="36">
        <v>3.72</v>
      </c>
      <c r="D5" s="36"/>
      <c r="E5" s="36"/>
      <c r="F5" s="36"/>
      <c r="G5" s="36">
        <v>1.66</v>
      </c>
      <c r="H5" s="23">
        <v>0.4</v>
      </c>
      <c r="I5" s="36">
        <v>3.47</v>
      </c>
      <c r="J5" s="36"/>
      <c r="K5" s="36"/>
      <c r="L5" s="36">
        <v>2.93</v>
      </c>
      <c r="M5" s="36"/>
      <c r="N5" s="36"/>
      <c r="O5" s="36"/>
      <c r="P5" s="23">
        <v>2.2799999999999998</v>
      </c>
      <c r="Q5" s="50">
        <v>3.0932061035727543</v>
      </c>
      <c r="R5" s="36">
        <v>1.81</v>
      </c>
      <c r="S5" s="36">
        <v>3.17</v>
      </c>
      <c r="T5" s="36"/>
      <c r="U5" s="36">
        <v>2.5299999999999998</v>
      </c>
      <c r="V5" s="36">
        <v>2.94</v>
      </c>
      <c r="W5" s="36"/>
      <c r="X5" s="36"/>
      <c r="Y5" s="96"/>
      <c r="Z5" s="36"/>
      <c r="AA5" s="36">
        <v>2.78</v>
      </c>
      <c r="AB5" s="36"/>
      <c r="AC5" s="36">
        <v>2.97</v>
      </c>
    </row>
    <row r="6" spans="1:29" x14ac:dyDescent="0.25">
      <c r="A6" s="14" t="s">
        <v>140</v>
      </c>
      <c r="B6" s="48">
        <v>0.14369999999999999</v>
      </c>
      <c r="C6" s="47">
        <v>0.08</v>
      </c>
      <c r="D6" s="36"/>
      <c r="E6" s="36"/>
      <c r="F6" s="36"/>
      <c r="G6" s="36"/>
      <c r="H6" s="48">
        <v>9.7199999999999995E-2</v>
      </c>
      <c r="I6" s="47">
        <v>-0.02</v>
      </c>
      <c r="J6" s="36"/>
      <c r="K6" s="47">
        <v>0.12</v>
      </c>
      <c r="L6" s="48">
        <v>0.15260000000000001</v>
      </c>
      <c r="M6" s="47"/>
      <c r="N6" s="47">
        <v>-0.44</v>
      </c>
      <c r="O6" s="36"/>
      <c r="P6" s="23">
        <v>0.23</v>
      </c>
      <c r="Q6" s="49">
        <v>2.5075998145916968E-2</v>
      </c>
      <c r="R6" s="36"/>
      <c r="S6" s="36">
        <v>-14.73</v>
      </c>
      <c r="T6" s="36"/>
      <c r="U6" s="47">
        <v>0.08</v>
      </c>
      <c r="V6" s="36">
        <v>0.37</v>
      </c>
      <c r="W6" s="36"/>
      <c r="X6" s="36"/>
      <c r="Y6" s="96"/>
      <c r="Z6" s="36"/>
      <c r="AA6" s="47">
        <v>0.28000000000000003</v>
      </c>
      <c r="AB6" s="36"/>
      <c r="AC6" s="48">
        <v>0.1673</v>
      </c>
    </row>
    <row r="7" spans="1:29" x14ac:dyDescent="0.25">
      <c r="A7" s="14" t="s">
        <v>141</v>
      </c>
      <c r="B7" s="36"/>
      <c r="C7" s="36"/>
      <c r="D7" s="47">
        <v>0.25</v>
      </c>
      <c r="E7" s="47"/>
      <c r="F7" s="48">
        <v>0.1862</v>
      </c>
      <c r="G7" s="47">
        <v>-0.25</v>
      </c>
      <c r="H7" s="36"/>
      <c r="I7" s="36"/>
      <c r="J7" s="47">
        <v>-0.11</v>
      </c>
      <c r="K7" s="36"/>
      <c r="L7" s="36"/>
      <c r="M7" s="47">
        <v>158.72</v>
      </c>
      <c r="N7" s="36"/>
      <c r="O7" s="48">
        <v>0.21060000000000001</v>
      </c>
      <c r="P7" s="23"/>
      <c r="Q7" s="36"/>
      <c r="R7" s="36">
        <v>1.03</v>
      </c>
      <c r="S7" s="36"/>
      <c r="T7" s="48">
        <v>4.7800000000000002E-2</v>
      </c>
      <c r="U7" s="36"/>
      <c r="V7" s="36"/>
      <c r="W7" s="48">
        <v>3.9E-2</v>
      </c>
      <c r="X7" s="48"/>
      <c r="Y7" s="96">
        <v>0.21</v>
      </c>
      <c r="Z7" s="47">
        <v>1.54</v>
      </c>
      <c r="AA7" s="36"/>
      <c r="AB7" s="48">
        <v>2.5399999999999999E-2</v>
      </c>
      <c r="AC7" s="36"/>
    </row>
    <row r="8" spans="1:29" x14ac:dyDescent="0.25">
      <c r="A8" s="14" t="s">
        <v>142</v>
      </c>
      <c r="B8" s="48">
        <v>0.63270000000000004</v>
      </c>
      <c r="C8" s="47">
        <v>0.78</v>
      </c>
      <c r="D8" s="47">
        <v>0.77</v>
      </c>
      <c r="E8" s="47"/>
      <c r="F8" s="48">
        <v>0.83440000000000003</v>
      </c>
      <c r="G8" s="47">
        <v>0.94</v>
      </c>
      <c r="H8" s="48">
        <v>0.68410000000000004</v>
      </c>
      <c r="I8" s="47">
        <v>0.66</v>
      </c>
      <c r="J8" s="47">
        <v>0.76</v>
      </c>
      <c r="K8" s="47">
        <v>0.66</v>
      </c>
      <c r="L8" s="48">
        <v>0.78649999999999998</v>
      </c>
      <c r="M8" s="47">
        <v>0.89</v>
      </c>
      <c r="N8" s="47">
        <v>0.82</v>
      </c>
      <c r="O8" s="48">
        <v>0.77669999999999995</v>
      </c>
      <c r="P8" s="23">
        <v>0.95</v>
      </c>
      <c r="Q8" s="49">
        <v>0.90066448593669968</v>
      </c>
      <c r="R8" s="36">
        <v>83.69</v>
      </c>
      <c r="S8" s="36">
        <v>84.65</v>
      </c>
      <c r="T8" s="48">
        <v>0.69410000000000005</v>
      </c>
      <c r="U8" s="47">
        <v>0.7</v>
      </c>
      <c r="V8" s="36">
        <v>0.71</v>
      </c>
      <c r="W8" s="48">
        <v>0.86299999999999999</v>
      </c>
      <c r="X8" s="48"/>
      <c r="Y8" s="96">
        <v>0.93</v>
      </c>
      <c r="Z8" s="47">
        <v>0.77</v>
      </c>
      <c r="AA8" s="47">
        <v>0.7</v>
      </c>
      <c r="AB8" s="48">
        <v>0.85599999999999998</v>
      </c>
      <c r="AC8" s="48">
        <v>0.63080000000000003</v>
      </c>
    </row>
    <row r="9" spans="1:29" x14ac:dyDescent="0.25">
      <c r="A9" s="14" t="s">
        <v>143</v>
      </c>
      <c r="B9" s="48">
        <v>-5.62E-2</v>
      </c>
      <c r="C9" s="47">
        <v>0.06</v>
      </c>
      <c r="D9" s="47">
        <v>0.02</v>
      </c>
      <c r="E9" s="47"/>
      <c r="F9" s="48">
        <v>1.6500000000000001E-2</v>
      </c>
      <c r="G9" s="47">
        <v>0.09</v>
      </c>
      <c r="H9" s="48">
        <v>-7.4899999999999994E-2</v>
      </c>
      <c r="I9" s="47">
        <v>0.01</v>
      </c>
      <c r="J9" s="48">
        <v>2.52E-2</v>
      </c>
      <c r="K9" s="47">
        <v>-0.06</v>
      </c>
      <c r="L9" s="48">
        <v>1.67E-2</v>
      </c>
      <c r="M9" s="47">
        <v>0.06</v>
      </c>
      <c r="N9" s="47">
        <v>0.03</v>
      </c>
      <c r="O9" s="48">
        <v>3.4700000000000002E-2</v>
      </c>
      <c r="P9" s="23">
        <v>0.1</v>
      </c>
      <c r="Q9" s="49">
        <v>5.5477424825636751E-2</v>
      </c>
      <c r="R9" s="36">
        <v>8.82</v>
      </c>
      <c r="S9" s="36">
        <v>6.14</v>
      </c>
      <c r="T9" s="48">
        <v>0.17480000000000001</v>
      </c>
      <c r="U9" s="47">
        <v>-0.01</v>
      </c>
      <c r="V9" s="36">
        <v>-7.0000000000000007E-2</v>
      </c>
      <c r="W9" s="48">
        <v>3.7999999999999999E-2</v>
      </c>
      <c r="X9" s="48"/>
      <c r="Y9" s="96">
        <v>0.02</v>
      </c>
      <c r="Z9" s="47">
        <v>0.04</v>
      </c>
      <c r="AA9" s="47">
        <v>0.04</v>
      </c>
      <c r="AB9" s="48">
        <v>4.7899999999999998E-2</v>
      </c>
      <c r="AC9" s="48">
        <v>1.24E-2</v>
      </c>
    </row>
    <row r="10" spans="1:29" ht="30" x14ac:dyDescent="0.25">
      <c r="A10" s="14" t="s">
        <v>144</v>
      </c>
      <c r="B10" s="48">
        <v>3.32E-2</v>
      </c>
      <c r="C10" s="47">
        <v>0.39</v>
      </c>
      <c r="D10" s="47">
        <v>0.25</v>
      </c>
      <c r="E10" s="47"/>
      <c r="F10" s="48">
        <v>0.25750000000000001</v>
      </c>
      <c r="G10" s="47">
        <v>1.34</v>
      </c>
      <c r="H10" s="48">
        <v>0.14460000000000001</v>
      </c>
      <c r="I10" s="47">
        <v>0.31</v>
      </c>
      <c r="J10" s="47">
        <v>0.51</v>
      </c>
      <c r="K10" s="47">
        <v>0.25</v>
      </c>
      <c r="L10" s="48">
        <v>0.23569999999999999</v>
      </c>
      <c r="M10" s="47">
        <v>4.34</v>
      </c>
      <c r="N10" s="47">
        <v>0.6</v>
      </c>
      <c r="O10" s="48">
        <v>0.36020000000000002</v>
      </c>
      <c r="P10" s="23">
        <v>0.56999999999999995</v>
      </c>
      <c r="Q10" s="49">
        <v>0.34780229905434223</v>
      </c>
      <c r="R10" s="36">
        <v>28.3</v>
      </c>
      <c r="S10" s="36">
        <v>36.159999999999997</v>
      </c>
      <c r="T10" s="48">
        <v>0.7339</v>
      </c>
      <c r="U10" s="47">
        <v>0.27</v>
      </c>
      <c r="V10" s="36">
        <v>0.63</v>
      </c>
      <c r="W10" s="48">
        <v>0.32600000000000001</v>
      </c>
      <c r="X10" s="48"/>
      <c r="Y10" s="96">
        <v>0.11</v>
      </c>
      <c r="Z10" s="23">
        <v>0.36</v>
      </c>
      <c r="AA10" s="47">
        <v>0.3</v>
      </c>
      <c r="AB10" s="48">
        <v>0.29020000000000001</v>
      </c>
      <c r="AC10" s="48">
        <v>0.27879999999999999</v>
      </c>
    </row>
    <row r="11" spans="1:29" ht="30" x14ac:dyDescent="0.25">
      <c r="A11" s="14" t="s">
        <v>145</v>
      </c>
      <c r="B11" s="48">
        <v>5.2400000000000002E-2</v>
      </c>
      <c r="C11" s="47">
        <v>0.46</v>
      </c>
      <c r="D11" s="47"/>
      <c r="E11" s="47"/>
      <c r="F11" s="36"/>
      <c r="G11" s="36"/>
      <c r="H11" s="48">
        <v>0.2114</v>
      </c>
      <c r="I11" s="47">
        <v>0.46</v>
      </c>
      <c r="J11" s="48"/>
      <c r="K11" s="47">
        <v>0.38</v>
      </c>
      <c r="L11" s="48">
        <v>0.29399999999999998</v>
      </c>
      <c r="M11" s="47">
        <v>4.87</v>
      </c>
      <c r="N11" s="47">
        <v>0.72</v>
      </c>
      <c r="O11" s="48">
        <v>0.43830000000000002</v>
      </c>
      <c r="P11" s="23"/>
      <c r="Q11" s="49">
        <v>0.37413142247337283</v>
      </c>
      <c r="R11" s="36">
        <v>31.59</v>
      </c>
      <c r="S11" s="36">
        <v>41.28</v>
      </c>
      <c r="T11" s="36"/>
      <c r="U11" s="47">
        <v>0.38</v>
      </c>
      <c r="V11" s="36">
        <v>0.88</v>
      </c>
      <c r="W11" s="48">
        <v>0.375</v>
      </c>
      <c r="X11" s="48"/>
      <c r="Y11" s="96">
        <v>0.12</v>
      </c>
      <c r="Z11" s="36"/>
      <c r="AA11" s="47">
        <v>0.41</v>
      </c>
      <c r="AB11" s="36"/>
      <c r="AC11" s="48">
        <v>0.4425</v>
      </c>
    </row>
    <row r="12" spans="1:29" ht="15" customHeight="1" x14ac:dyDescent="0.25">
      <c r="A12" s="14" t="s">
        <v>146</v>
      </c>
      <c r="B12" s="48">
        <v>0.99660000000000004</v>
      </c>
      <c r="C12" s="47">
        <v>0.65</v>
      </c>
      <c r="D12" s="47"/>
      <c r="E12" s="47"/>
      <c r="F12" s="36"/>
      <c r="G12" s="36"/>
      <c r="H12" s="48">
        <v>1.0222</v>
      </c>
      <c r="I12" s="47">
        <v>0.81</v>
      </c>
      <c r="J12" s="48"/>
      <c r="K12" s="47">
        <v>0.81</v>
      </c>
      <c r="L12" s="48">
        <v>0.7913</v>
      </c>
      <c r="M12" s="47">
        <v>3.48</v>
      </c>
      <c r="N12" s="47">
        <v>0.92</v>
      </c>
      <c r="O12" s="48">
        <v>0.85429999999999995</v>
      </c>
      <c r="P12" s="23"/>
      <c r="Q12" s="49">
        <v>0.95283421721600503</v>
      </c>
      <c r="R12" s="36">
        <v>87.84</v>
      </c>
      <c r="S12" s="36">
        <v>83.71</v>
      </c>
      <c r="T12" s="36"/>
      <c r="U12" s="47">
        <v>0.9</v>
      </c>
      <c r="V12" s="36">
        <v>0.56999999999999995</v>
      </c>
      <c r="W12" s="48">
        <v>0.77700000000000002</v>
      </c>
      <c r="X12" s="48"/>
      <c r="Y12" s="96">
        <v>1.01</v>
      </c>
      <c r="Z12" s="36"/>
      <c r="AA12" s="47">
        <v>0.77</v>
      </c>
      <c r="AB12" s="36"/>
      <c r="AC12" s="48">
        <v>0.70799999999999996</v>
      </c>
    </row>
    <row r="13" spans="1:29" ht="15" customHeight="1" x14ac:dyDescent="0.25">
      <c r="A13" s="14" t="s">
        <v>147</v>
      </c>
      <c r="B13" s="48">
        <v>0.98150000000000004</v>
      </c>
      <c r="C13" s="47">
        <v>1.04</v>
      </c>
      <c r="D13" s="47">
        <v>0.99</v>
      </c>
      <c r="E13" s="47"/>
      <c r="F13" s="48">
        <v>1.0037</v>
      </c>
      <c r="G13" s="47">
        <v>2.21</v>
      </c>
      <c r="H13" s="48">
        <v>1.1555</v>
      </c>
      <c r="I13" s="47">
        <v>1.2</v>
      </c>
      <c r="J13" s="47">
        <v>1.36</v>
      </c>
      <c r="K13" s="47">
        <v>1.07</v>
      </c>
      <c r="L13" s="48">
        <v>1.0545</v>
      </c>
      <c r="M13" s="47">
        <v>8.34</v>
      </c>
      <c r="N13" s="47">
        <v>1.62</v>
      </c>
      <c r="O13" s="48">
        <v>1.268</v>
      </c>
      <c r="P13" s="23">
        <v>1.18</v>
      </c>
      <c r="Q13" s="49">
        <v>1.3824430645150145</v>
      </c>
      <c r="R13" s="36">
        <v>118.76</v>
      </c>
      <c r="S13" s="36">
        <v>124.05</v>
      </c>
      <c r="T13" s="48">
        <v>1.0649999999999999</v>
      </c>
      <c r="U13" s="47">
        <v>1.21</v>
      </c>
      <c r="V13" s="36">
        <v>1.22</v>
      </c>
      <c r="W13" s="48">
        <v>1.1240000000000001</v>
      </c>
      <c r="X13" s="48"/>
      <c r="Y13" s="96">
        <v>1.1200000000000001</v>
      </c>
      <c r="Z13" s="36">
        <v>1.01</v>
      </c>
      <c r="AA13" s="47">
        <v>1.1200000000000001</v>
      </c>
      <c r="AB13" s="48">
        <v>1.1989000000000001</v>
      </c>
      <c r="AC13" s="48">
        <v>1.0779000000000001</v>
      </c>
    </row>
    <row r="14" spans="1:29" ht="15" customHeight="1" x14ac:dyDescent="0.25">
      <c r="A14" s="14" t="s">
        <v>148</v>
      </c>
      <c r="B14" s="36">
        <v>1.7</v>
      </c>
      <c r="C14" s="36">
        <v>0.72</v>
      </c>
      <c r="D14" s="47">
        <v>1.36</v>
      </c>
      <c r="E14" s="36"/>
      <c r="F14" s="48">
        <v>1.6156999999999999</v>
      </c>
      <c r="G14" s="36">
        <v>1.48</v>
      </c>
      <c r="H14" s="23">
        <v>5.47</v>
      </c>
      <c r="I14" s="36">
        <v>1.54</v>
      </c>
      <c r="J14" s="47">
        <v>1.39</v>
      </c>
      <c r="K14" s="36">
        <v>1.95</v>
      </c>
      <c r="L14" s="36">
        <v>1.36</v>
      </c>
      <c r="M14" s="36">
        <v>1.04</v>
      </c>
      <c r="N14" s="36">
        <v>1.1100000000000001</v>
      </c>
      <c r="O14" s="36">
        <v>1.97</v>
      </c>
      <c r="P14" s="23">
        <v>0.69</v>
      </c>
      <c r="Q14" s="23">
        <v>1.3367874597456471</v>
      </c>
      <c r="R14" s="36">
        <v>1.53</v>
      </c>
      <c r="S14" s="36">
        <v>1.49</v>
      </c>
      <c r="T14" s="48">
        <v>1.4258</v>
      </c>
      <c r="U14" s="36">
        <v>2.2000000000000002</v>
      </c>
      <c r="V14" s="36">
        <v>0.73</v>
      </c>
      <c r="W14" s="36">
        <v>1.55</v>
      </c>
      <c r="X14" s="36"/>
      <c r="Y14" s="96">
        <v>3.32</v>
      </c>
      <c r="Z14" s="36">
        <v>0.57999999999999996</v>
      </c>
      <c r="AA14" s="36">
        <v>1.24</v>
      </c>
      <c r="AB14" s="48">
        <v>1.403</v>
      </c>
      <c r="AC14" s="36">
        <v>1.47</v>
      </c>
    </row>
    <row r="15" spans="1:29" x14ac:dyDescent="0.25">
      <c r="A15" s="14" t="s">
        <v>149</v>
      </c>
      <c r="B15" s="36">
        <v>0.02</v>
      </c>
      <c r="C15" s="36">
        <v>-0.08</v>
      </c>
      <c r="D15" s="47">
        <v>-0.02</v>
      </c>
      <c r="E15" s="36"/>
      <c r="F15" s="48">
        <v>-6.4600000000000005E-2</v>
      </c>
      <c r="G15" s="36">
        <v>-2.4900000000000002</v>
      </c>
      <c r="H15" s="49">
        <v>-0.25509999999999999</v>
      </c>
      <c r="I15" s="36">
        <v>-0.19</v>
      </c>
      <c r="J15" s="36">
        <v>-0.49</v>
      </c>
      <c r="K15" s="36">
        <v>-0.1</v>
      </c>
      <c r="L15" s="48">
        <v>-6.8900000000000003E-2</v>
      </c>
      <c r="M15" s="36">
        <v>-268</v>
      </c>
      <c r="N15" s="36">
        <v>-0.72</v>
      </c>
      <c r="O15" s="36">
        <v>-0.23</v>
      </c>
      <c r="P15" s="23">
        <v>-0.27</v>
      </c>
      <c r="Q15" s="23">
        <v>-0.33582966494436289</v>
      </c>
      <c r="R15" s="36">
        <v>-0.21</v>
      </c>
      <c r="S15" s="36">
        <v>-0.27</v>
      </c>
      <c r="T15" s="48">
        <v>-0.26690000000000003</v>
      </c>
      <c r="U15" s="36">
        <v>-0.21</v>
      </c>
      <c r="V15" s="36">
        <v>-0.38</v>
      </c>
      <c r="W15" s="36">
        <v>-0.14000000000000001</v>
      </c>
      <c r="X15" s="36"/>
      <c r="Y15" s="96">
        <v>-0.13</v>
      </c>
      <c r="Z15" s="47">
        <v>0.12</v>
      </c>
      <c r="AA15" s="36">
        <v>-0.14000000000000001</v>
      </c>
      <c r="AB15" s="48">
        <v>-0.22109999999999999</v>
      </c>
      <c r="AC15" s="36">
        <v>-0.1</v>
      </c>
    </row>
    <row r="16" spans="1:29" x14ac:dyDescent="0.25">
      <c r="A16" s="14" t="s">
        <v>150</v>
      </c>
      <c r="B16" s="48">
        <v>0.1502</v>
      </c>
      <c r="C16" s="47">
        <v>-0.02</v>
      </c>
      <c r="D16" s="47">
        <v>0.13</v>
      </c>
      <c r="E16" s="47"/>
      <c r="F16" s="48">
        <v>0.1036</v>
      </c>
      <c r="G16" s="47">
        <v>-2.42</v>
      </c>
      <c r="H16" s="48">
        <v>0.109</v>
      </c>
      <c r="I16" s="47">
        <v>-0.06</v>
      </c>
      <c r="J16" s="47">
        <v>-0.39</v>
      </c>
      <c r="K16" s="47">
        <v>0.1</v>
      </c>
      <c r="L16" s="48">
        <v>6.0400000000000002E-2</v>
      </c>
      <c r="M16" s="47">
        <v>-265.5</v>
      </c>
      <c r="N16" s="47">
        <v>-0.64</v>
      </c>
      <c r="O16" s="48">
        <v>-6.5500000000000003E-2</v>
      </c>
      <c r="P16" s="23">
        <v>-0.21</v>
      </c>
      <c r="Q16" s="49">
        <v>1.3461872817715902E-2</v>
      </c>
      <c r="R16" s="36">
        <v>-2.9</v>
      </c>
      <c r="S16" s="36">
        <v>-1.3</v>
      </c>
      <c r="T16" s="48">
        <v>-0.12330000000000001</v>
      </c>
      <c r="U16" s="47">
        <v>0</v>
      </c>
      <c r="V16" s="36">
        <v>-0.28999999999999998</v>
      </c>
      <c r="W16" s="48">
        <v>-7.0000000000000001E-3</v>
      </c>
      <c r="X16" s="48"/>
      <c r="Y16" s="96">
        <v>0.18</v>
      </c>
      <c r="Z16" s="23">
        <v>0.17</v>
      </c>
      <c r="AA16" s="47">
        <v>-0.03</v>
      </c>
      <c r="AB16" s="48">
        <v>-4.6399999999999997E-2</v>
      </c>
      <c r="AC16" s="48">
        <v>3.4299999999999997E-2</v>
      </c>
    </row>
    <row r="17" spans="1:29" x14ac:dyDescent="0.25">
      <c r="A17" s="14" t="s">
        <v>151</v>
      </c>
      <c r="B17" s="36">
        <v>0.85</v>
      </c>
      <c r="C17" s="36">
        <v>0.56000000000000005</v>
      </c>
      <c r="D17" s="47">
        <v>0.23</v>
      </c>
      <c r="E17" s="36"/>
      <c r="F17" s="48">
        <v>0.1439</v>
      </c>
      <c r="G17" s="36">
        <v>0.28999999999999998</v>
      </c>
      <c r="H17" s="23">
        <v>0.18</v>
      </c>
      <c r="I17" s="36">
        <v>0.1</v>
      </c>
      <c r="J17" s="47">
        <v>0.17</v>
      </c>
      <c r="K17" s="23">
        <v>0.14000000000000001</v>
      </c>
      <c r="L17" s="36">
        <v>0.31</v>
      </c>
      <c r="M17" s="36">
        <v>3.58</v>
      </c>
      <c r="N17" s="36">
        <v>0.41</v>
      </c>
      <c r="O17" s="36">
        <v>0.18</v>
      </c>
      <c r="P17" s="23">
        <v>0.7</v>
      </c>
      <c r="Q17" s="23">
        <v>0.20398012301887036</v>
      </c>
      <c r="R17" s="36">
        <v>0.38</v>
      </c>
      <c r="S17" s="36">
        <v>0.28000000000000003</v>
      </c>
      <c r="T17" s="48">
        <v>3.5962999999999998</v>
      </c>
      <c r="U17" s="36">
        <v>0.33</v>
      </c>
      <c r="V17" s="36">
        <v>0.37</v>
      </c>
      <c r="W17" s="36">
        <v>0.22</v>
      </c>
      <c r="X17" s="36"/>
      <c r="Y17" s="96">
        <v>0.06</v>
      </c>
      <c r="Z17" s="23">
        <v>0.37</v>
      </c>
      <c r="AA17" s="36">
        <v>0.3</v>
      </c>
      <c r="AB17" s="48">
        <v>0.1497</v>
      </c>
      <c r="AC17" s="36">
        <v>0.39</v>
      </c>
    </row>
    <row r="18" spans="1:29" x14ac:dyDescent="0.25">
      <c r="A18" s="14" t="s">
        <v>152</v>
      </c>
      <c r="B18" s="48">
        <v>0.13780000000000001</v>
      </c>
      <c r="C18" s="48">
        <v>8.6E-3</v>
      </c>
      <c r="D18" s="47">
        <v>0.12</v>
      </c>
      <c r="E18" s="47"/>
      <c r="F18" s="48">
        <v>7.1900000000000006E-2</v>
      </c>
      <c r="G18" s="36">
        <v>-1.29</v>
      </c>
      <c r="H18" s="48">
        <v>0.30570000000000003</v>
      </c>
      <c r="I18" s="47">
        <v>-0.01</v>
      </c>
      <c r="J18" s="47">
        <v>-0.34</v>
      </c>
      <c r="K18" s="47">
        <v>0.11</v>
      </c>
      <c r="L18" s="48">
        <v>5.6500000000000002E-2</v>
      </c>
      <c r="M18" s="47">
        <v>-2.95</v>
      </c>
      <c r="N18" s="47">
        <v>-0.57999999999999996</v>
      </c>
      <c r="O18" s="48">
        <v>-3.5700000000000003E-2</v>
      </c>
      <c r="P18" s="23">
        <v>-0.15</v>
      </c>
      <c r="Q18" s="49">
        <v>1.3356033924989139E-2</v>
      </c>
      <c r="R18" s="36">
        <v>5.21</v>
      </c>
      <c r="S18" s="36">
        <v>3.98</v>
      </c>
      <c r="T18" s="48">
        <v>0.40649999999999997</v>
      </c>
      <c r="U18" s="47">
        <v>0.05</v>
      </c>
      <c r="V18" s="36">
        <v>-0.22</v>
      </c>
      <c r="W18" s="48">
        <v>1.7999999999999999E-2</v>
      </c>
      <c r="X18" s="48"/>
      <c r="Y18" s="96">
        <v>0.14000000000000001</v>
      </c>
      <c r="Z18" s="23">
        <v>0.09</v>
      </c>
      <c r="AA18" s="47">
        <v>0.01</v>
      </c>
      <c r="AB18" s="48">
        <v>2.06E-2</v>
      </c>
      <c r="AC18" s="48">
        <v>7.6700000000000004E-2</v>
      </c>
    </row>
    <row r="19" spans="1:29" x14ac:dyDescent="0.25">
      <c r="A19" s="14" t="s">
        <v>153</v>
      </c>
      <c r="B19" s="48">
        <v>0.12559999999999999</v>
      </c>
      <c r="C19" s="48">
        <v>2.7199999999999998E-2</v>
      </c>
      <c r="D19" s="47">
        <v>0.2</v>
      </c>
      <c r="E19" s="47"/>
      <c r="F19" s="48">
        <v>0.17349999999999999</v>
      </c>
      <c r="G19" s="47">
        <v>-2.0099999999999998</v>
      </c>
      <c r="H19" s="48">
        <v>8.4199999999999997E-2</v>
      </c>
      <c r="I19" s="47">
        <v>-0.01</v>
      </c>
      <c r="J19" s="47">
        <v>-0.72</v>
      </c>
      <c r="K19" s="47">
        <v>0.16</v>
      </c>
      <c r="L19" s="48">
        <v>0.1328</v>
      </c>
      <c r="M19" s="48">
        <v>-7.7799999999999994E-2</v>
      </c>
      <c r="N19" s="47">
        <v>-0.8</v>
      </c>
      <c r="O19" s="48">
        <v>-5.4100000000000002E-2</v>
      </c>
      <c r="P19" s="23">
        <v>-0.33</v>
      </c>
      <c r="Q19" s="49">
        <v>3.8405607155430156E-2</v>
      </c>
      <c r="R19" s="36">
        <v>8.44</v>
      </c>
      <c r="S19" s="36">
        <v>11.07</v>
      </c>
      <c r="T19" s="48">
        <v>4.5499999999999999E-2</v>
      </c>
      <c r="U19" s="47">
        <v>0.09</v>
      </c>
      <c r="V19" s="36">
        <v>-0.46</v>
      </c>
      <c r="W19" s="48">
        <v>4.6699999999999998E-2</v>
      </c>
      <c r="X19" s="48"/>
      <c r="Y19" s="96">
        <v>0.23</v>
      </c>
      <c r="Z19" s="23">
        <v>0.38</v>
      </c>
      <c r="AA19" s="47">
        <v>0.02</v>
      </c>
      <c r="AB19" s="48">
        <v>3.85E-2</v>
      </c>
      <c r="AC19" s="48">
        <v>0.14330000000000001</v>
      </c>
    </row>
    <row r="20" spans="1:29" ht="30" x14ac:dyDescent="0.25">
      <c r="A20" s="14" t="s">
        <v>154</v>
      </c>
      <c r="B20" s="36">
        <v>3.26</v>
      </c>
      <c r="C20" s="36">
        <v>1.51</v>
      </c>
      <c r="D20" s="47">
        <v>2.5099999999999998</v>
      </c>
      <c r="E20" s="36"/>
      <c r="F20" s="48">
        <v>1.6060000000000001</v>
      </c>
      <c r="G20" s="47">
        <v>1.54</v>
      </c>
      <c r="H20" s="36">
        <v>9.7899999999999991</v>
      </c>
      <c r="I20" s="36">
        <v>1.54</v>
      </c>
      <c r="J20" s="36">
        <v>1.52</v>
      </c>
      <c r="K20" s="36">
        <v>1.82</v>
      </c>
      <c r="L20" s="36">
        <v>1.6</v>
      </c>
      <c r="M20" s="36">
        <v>2.4500000000000002</v>
      </c>
      <c r="N20" s="36">
        <v>2.2400000000000002</v>
      </c>
      <c r="O20" s="36">
        <v>1.78</v>
      </c>
      <c r="P20" s="23">
        <v>2.16</v>
      </c>
      <c r="Q20" s="36">
        <v>1.26</v>
      </c>
      <c r="R20" s="36">
        <v>2.2999999999999998</v>
      </c>
      <c r="S20" s="36">
        <v>1.59</v>
      </c>
      <c r="T20" s="36">
        <v>4.43</v>
      </c>
      <c r="U20" s="36">
        <v>1.55</v>
      </c>
      <c r="V20" s="36">
        <v>1.85</v>
      </c>
      <c r="W20" s="36">
        <v>1.55</v>
      </c>
      <c r="X20" s="36"/>
      <c r="Y20" s="50">
        <v>1.98</v>
      </c>
      <c r="Z20" s="36">
        <v>5.99</v>
      </c>
      <c r="AA20" s="36">
        <v>1.66</v>
      </c>
      <c r="AB20" s="36">
        <v>1.91</v>
      </c>
      <c r="AC20" s="36">
        <v>1.69</v>
      </c>
    </row>
    <row r="21" spans="1:29" x14ac:dyDescent="0.25">
      <c r="A21" s="14" t="s">
        <v>155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23"/>
      <c r="Q21" s="36"/>
      <c r="R21" s="36"/>
      <c r="S21" s="36"/>
      <c r="T21" s="36"/>
      <c r="U21" s="36"/>
      <c r="V21" s="36"/>
      <c r="W21" s="36"/>
      <c r="X21" s="36"/>
      <c r="Y21" s="96"/>
      <c r="Z21" s="36"/>
      <c r="AA21" s="36"/>
      <c r="AB21" s="36"/>
      <c r="AC21" s="48"/>
    </row>
    <row r="22" spans="1:29" x14ac:dyDescent="0.25">
      <c r="A22" s="14" t="s">
        <v>156</v>
      </c>
      <c r="B22" s="36"/>
      <c r="C22" s="36"/>
      <c r="D22" s="36"/>
      <c r="E22" s="48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3"/>
      <c r="Q22" s="36"/>
      <c r="R22" s="36"/>
      <c r="S22" s="36">
        <v>0.31</v>
      </c>
      <c r="T22" s="36"/>
      <c r="U22" s="36"/>
      <c r="V22" s="36"/>
      <c r="W22" s="36"/>
      <c r="X22" s="36"/>
      <c r="Y22" s="96"/>
      <c r="Z22" s="36"/>
      <c r="AA22" s="36"/>
      <c r="AB22" s="48">
        <v>5.0000000000000001E-3</v>
      </c>
      <c r="AC22" s="36"/>
    </row>
    <row r="23" spans="1:29" x14ac:dyDescent="0.25">
      <c r="A23" s="14" t="s">
        <v>157</v>
      </c>
      <c r="B23" s="36"/>
      <c r="C23" s="36"/>
      <c r="D23" s="36"/>
      <c r="E23" s="48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23"/>
      <c r="Q23" s="36"/>
      <c r="R23" s="36"/>
      <c r="S23" s="36"/>
      <c r="T23" s="36"/>
      <c r="U23" s="36"/>
      <c r="V23" s="36"/>
      <c r="W23" s="36"/>
      <c r="X23" s="36"/>
      <c r="Y23" s="96"/>
      <c r="Z23" s="36"/>
      <c r="AA23" s="36"/>
      <c r="AB23" s="48">
        <v>6.9999999999999999E-4</v>
      </c>
      <c r="AC23" s="3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7.42578125" style="8" customWidth="1"/>
    <col min="2" max="29" width="16" style="52" customWidth="1"/>
    <col min="30" max="16384" width="9.140625" style="8"/>
  </cols>
  <sheetData>
    <row r="1" spans="1:29" ht="18.75" x14ac:dyDescent="0.3">
      <c r="A1" s="114" t="s">
        <v>281</v>
      </c>
      <c r="Q1" s="118"/>
    </row>
    <row r="2" spans="1:29" x14ac:dyDescent="0.25">
      <c r="A2" s="8" t="s">
        <v>109</v>
      </c>
      <c r="Q2" s="118"/>
    </row>
    <row r="3" spans="1:29" s="59" customFormat="1" x14ac:dyDescent="0.25">
      <c r="A3" s="110" t="s">
        <v>0</v>
      </c>
      <c r="B3" s="120" t="s">
        <v>1</v>
      </c>
      <c r="C3" s="120" t="s">
        <v>2</v>
      </c>
      <c r="D3" s="120" t="s">
        <v>3</v>
      </c>
      <c r="E3" s="120" t="s">
        <v>4</v>
      </c>
      <c r="F3" s="120" t="s">
        <v>5</v>
      </c>
      <c r="G3" s="120" t="s">
        <v>6</v>
      </c>
      <c r="H3" s="120" t="s">
        <v>7</v>
      </c>
      <c r="I3" s="120" t="s">
        <v>8</v>
      </c>
      <c r="J3" s="120" t="s">
        <v>10</v>
      </c>
      <c r="K3" s="120" t="s">
        <v>11</v>
      </c>
      <c r="L3" s="120" t="s">
        <v>12</v>
      </c>
      <c r="M3" s="120" t="s">
        <v>13</v>
      </c>
      <c r="N3" s="120" t="s">
        <v>14</v>
      </c>
      <c r="O3" s="120" t="s">
        <v>15</v>
      </c>
      <c r="P3" s="120" t="s">
        <v>16</v>
      </c>
      <c r="Q3" s="119" t="s">
        <v>17</v>
      </c>
      <c r="R3" s="120" t="s">
        <v>18</v>
      </c>
      <c r="S3" s="120" t="s">
        <v>19</v>
      </c>
      <c r="T3" s="120" t="s">
        <v>20</v>
      </c>
      <c r="U3" s="120" t="s">
        <v>21</v>
      </c>
      <c r="V3" s="120" t="s">
        <v>22</v>
      </c>
      <c r="W3" s="120" t="s">
        <v>23</v>
      </c>
      <c r="X3" s="120" t="s">
        <v>24</v>
      </c>
      <c r="Y3" s="120" t="s">
        <v>25</v>
      </c>
      <c r="Z3" s="120" t="s">
        <v>26</v>
      </c>
      <c r="AA3" s="120" t="s">
        <v>27</v>
      </c>
      <c r="AB3" s="120" t="s">
        <v>28</v>
      </c>
      <c r="AC3" s="120" t="s">
        <v>29</v>
      </c>
    </row>
    <row r="4" spans="1:29" ht="15" customHeight="1" x14ac:dyDescent="0.25">
      <c r="A4" s="26" t="s">
        <v>110</v>
      </c>
      <c r="B4" s="122">
        <v>446776.35</v>
      </c>
      <c r="C4" s="122">
        <v>83455</v>
      </c>
      <c r="D4" s="122">
        <v>758955</v>
      </c>
      <c r="E4" s="122">
        <v>286572</v>
      </c>
      <c r="F4" s="122">
        <v>344642</v>
      </c>
      <c r="G4" s="122">
        <v>10500.4</v>
      </c>
      <c r="H4" s="122">
        <v>499210.42</v>
      </c>
      <c r="I4" s="122">
        <v>184892</v>
      </c>
      <c r="J4" s="122">
        <v>51319</v>
      </c>
      <c r="K4" s="122">
        <v>1191265</v>
      </c>
      <c r="L4" s="122">
        <v>410793.15</v>
      </c>
      <c r="M4" s="122">
        <v>344</v>
      </c>
      <c r="N4" s="122">
        <v>33314</v>
      </c>
      <c r="O4" s="122">
        <v>71797</v>
      </c>
      <c r="P4" s="122">
        <v>31202</v>
      </c>
      <c r="Q4" s="116">
        <v>1790940.9308712501</v>
      </c>
      <c r="R4" s="122">
        <v>2779503</v>
      </c>
      <c r="S4" s="122"/>
      <c r="T4" s="122">
        <v>3913.24</v>
      </c>
      <c r="U4" s="122">
        <v>453197</v>
      </c>
      <c r="V4" s="122">
        <v>31623.599999999999</v>
      </c>
      <c r="W4" s="122">
        <v>240104</v>
      </c>
      <c r="X4" s="122">
        <v>278152</v>
      </c>
      <c r="Y4" s="122">
        <v>538344</v>
      </c>
      <c r="Z4" s="122">
        <v>102746.89</v>
      </c>
      <c r="AA4" s="122">
        <v>329733</v>
      </c>
      <c r="AB4" s="122">
        <v>1718372.23</v>
      </c>
      <c r="AC4" s="122">
        <v>99954.05</v>
      </c>
    </row>
    <row r="5" spans="1:29" ht="15" customHeight="1" x14ac:dyDescent="0.25">
      <c r="A5" s="26" t="s">
        <v>111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17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</row>
    <row r="6" spans="1:29" ht="15" customHeight="1" x14ac:dyDescent="0.25">
      <c r="A6" s="26" t="s">
        <v>112</v>
      </c>
      <c r="B6" s="122">
        <v>378292.06</v>
      </c>
      <c r="C6" s="122">
        <v>62592</v>
      </c>
      <c r="D6" s="122">
        <v>622456</v>
      </c>
      <c r="E6" s="122">
        <v>204731</v>
      </c>
      <c r="F6" s="122">
        <v>332436</v>
      </c>
      <c r="G6" s="122">
        <v>10500.4</v>
      </c>
      <c r="H6" s="122">
        <v>483620.88</v>
      </c>
      <c r="I6" s="122">
        <v>184892</v>
      </c>
      <c r="J6" s="122">
        <v>50778</v>
      </c>
      <c r="K6" s="122">
        <v>1061428</v>
      </c>
      <c r="L6" s="122">
        <v>401432.11</v>
      </c>
      <c r="M6" s="122">
        <v>344</v>
      </c>
      <c r="N6" s="122">
        <v>32928</v>
      </c>
      <c r="O6" s="122">
        <v>65304</v>
      </c>
      <c r="P6" s="122">
        <v>31202</v>
      </c>
      <c r="Q6" s="116">
        <v>1493613</v>
      </c>
      <c r="R6" s="122">
        <v>2433828</v>
      </c>
      <c r="S6" s="122"/>
      <c r="T6" s="122">
        <v>3644.59</v>
      </c>
      <c r="U6" s="122">
        <v>438916</v>
      </c>
      <c r="V6" s="122">
        <v>26233</v>
      </c>
      <c r="W6" s="122">
        <v>228751</v>
      </c>
      <c r="X6" s="122">
        <v>267681</v>
      </c>
      <c r="Y6" s="122">
        <v>533996</v>
      </c>
      <c r="Z6" s="122">
        <v>89863.679999999993</v>
      </c>
      <c r="AA6" s="122">
        <v>269408</v>
      </c>
      <c r="AB6" s="122">
        <v>1503224.43</v>
      </c>
      <c r="AC6" s="122">
        <v>83735.98</v>
      </c>
    </row>
    <row r="7" spans="1:29" ht="15" customHeight="1" x14ac:dyDescent="0.25">
      <c r="A7" s="26" t="s">
        <v>114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17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</row>
    <row r="8" spans="1:29" ht="15" customHeight="1" x14ac:dyDescent="0.25">
      <c r="A8" s="26" t="s">
        <v>115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17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</row>
    <row r="9" spans="1:29" ht="30" customHeight="1" x14ac:dyDescent="0.25">
      <c r="A9" s="26" t="s">
        <v>113</v>
      </c>
      <c r="B9" s="122">
        <v>11858.38</v>
      </c>
      <c r="C9" s="122">
        <v>3310</v>
      </c>
      <c r="D9" s="122">
        <v>149451</v>
      </c>
      <c r="E9" s="122">
        <v>14080</v>
      </c>
      <c r="F9" s="122">
        <v>12206</v>
      </c>
      <c r="G9" s="122"/>
      <c r="H9" s="122">
        <v>40558.85</v>
      </c>
      <c r="I9" s="122"/>
      <c r="J9" s="122">
        <v>6022</v>
      </c>
      <c r="K9" s="122">
        <v>145018</v>
      </c>
      <c r="L9" s="122">
        <v>9361.0400000000009</v>
      </c>
      <c r="M9" s="122"/>
      <c r="N9" s="122">
        <v>6642</v>
      </c>
      <c r="O9" s="122">
        <v>4855</v>
      </c>
      <c r="P9" s="122"/>
      <c r="Q9" s="116">
        <v>331535.22629028186</v>
      </c>
      <c r="R9" s="122">
        <v>491684</v>
      </c>
      <c r="S9" s="122"/>
      <c r="T9" s="122">
        <v>157.21</v>
      </c>
      <c r="U9" s="122">
        <v>14281</v>
      </c>
      <c r="V9" s="122">
        <v>2971</v>
      </c>
      <c r="W9" s="122">
        <v>18552</v>
      </c>
      <c r="X9" s="122"/>
      <c r="Y9" s="122">
        <v>4348</v>
      </c>
      <c r="Z9" s="122">
        <v>8874.66</v>
      </c>
      <c r="AA9" s="122">
        <v>60325</v>
      </c>
      <c r="AB9" s="122">
        <v>215147.8</v>
      </c>
      <c r="AC9" s="122">
        <v>15778.98</v>
      </c>
    </row>
    <row r="10" spans="1:29" s="44" customFormat="1" ht="15" customHeight="1" x14ac:dyDescent="0.25">
      <c r="A10" s="17" t="s">
        <v>116</v>
      </c>
      <c r="B10" s="25">
        <v>56625.91</v>
      </c>
      <c r="C10" s="25">
        <v>17553</v>
      </c>
      <c r="D10" s="25">
        <v>-12952</v>
      </c>
      <c r="E10" s="25">
        <v>67761</v>
      </c>
      <c r="F10" s="25"/>
      <c r="G10" s="25"/>
      <c r="H10" s="25">
        <v>-24969.31</v>
      </c>
      <c r="I10" s="25"/>
      <c r="J10" s="25">
        <v>-5481</v>
      </c>
      <c r="K10" s="25">
        <v>-15181</v>
      </c>
      <c r="L10" s="25"/>
      <c r="M10" s="25"/>
      <c r="N10" s="25">
        <v>-6256</v>
      </c>
      <c r="O10" s="25">
        <v>1638</v>
      </c>
      <c r="P10" s="25"/>
      <c r="Q10" s="121">
        <v>-34207</v>
      </c>
      <c r="R10" s="25">
        <v>-146009</v>
      </c>
      <c r="S10" s="25"/>
      <c r="T10" s="25">
        <v>111.43</v>
      </c>
      <c r="U10" s="25"/>
      <c r="V10" s="25">
        <v>2419.5</v>
      </c>
      <c r="W10" s="25"/>
      <c r="X10" s="25">
        <v>10471</v>
      </c>
      <c r="Y10" s="25"/>
      <c r="Z10" s="25">
        <v>4008.55</v>
      </c>
      <c r="AA10" s="25"/>
      <c r="AB10" s="25"/>
      <c r="AC10" s="25">
        <v>439.09</v>
      </c>
    </row>
    <row r="11" spans="1:29" ht="15" customHeight="1" x14ac:dyDescent="0.25">
      <c r="A11" s="26" t="s">
        <v>117</v>
      </c>
      <c r="B11" s="122">
        <v>277103.05</v>
      </c>
      <c r="C11" s="122">
        <v>18291</v>
      </c>
      <c r="D11" s="122">
        <v>278971</v>
      </c>
      <c r="E11" s="122">
        <v>24760</v>
      </c>
      <c r="F11" s="122">
        <v>83318</v>
      </c>
      <c r="G11" s="122">
        <v>13182.08</v>
      </c>
      <c r="H11" s="122">
        <v>346908.94</v>
      </c>
      <c r="I11" s="122">
        <v>55491</v>
      </c>
      <c r="J11" s="122">
        <v>19387</v>
      </c>
      <c r="K11" s="122">
        <v>291725</v>
      </c>
      <c r="L11" s="122">
        <v>164615.76999999999</v>
      </c>
      <c r="M11" s="122">
        <v>13263</v>
      </c>
      <c r="N11" s="122">
        <v>25819</v>
      </c>
      <c r="O11" s="122">
        <v>22471</v>
      </c>
      <c r="P11" s="122">
        <v>31918</v>
      </c>
      <c r="Q11" s="116">
        <v>525294.96949874994</v>
      </c>
      <c r="R11" s="122">
        <v>1298912</v>
      </c>
      <c r="S11" s="122"/>
      <c r="T11" s="122">
        <v>22980.87</v>
      </c>
      <c r="U11" s="122">
        <v>161203</v>
      </c>
      <c r="V11" s="122">
        <v>22578.5</v>
      </c>
      <c r="W11" s="122">
        <v>59303</v>
      </c>
      <c r="X11" s="122">
        <v>84231</v>
      </c>
      <c r="Y11" s="122">
        <v>95591</v>
      </c>
      <c r="Z11" s="122">
        <v>28415.32</v>
      </c>
      <c r="AA11" s="122">
        <v>99569</v>
      </c>
      <c r="AB11" s="122">
        <v>650555.97</v>
      </c>
      <c r="AC11" s="122">
        <v>27183.32</v>
      </c>
    </row>
    <row r="12" spans="1:29" x14ac:dyDescent="0.25">
      <c r="A12" s="26" t="s">
        <v>111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</row>
    <row r="13" spans="1:29" ht="30" customHeight="1" x14ac:dyDescent="0.25">
      <c r="A13" s="26" t="s">
        <v>118</v>
      </c>
      <c r="B13" s="122">
        <v>102435.52</v>
      </c>
      <c r="C13" s="122">
        <v>10672</v>
      </c>
      <c r="D13" s="122"/>
      <c r="E13" s="122">
        <v>24862</v>
      </c>
      <c r="F13" s="122">
        <v>12876</v>
      </c>
      <c r="G13" s="122">
        <v>5461.92</v>
      </c>
      <c r="H13" s="122">
        <v>28184.959999999999</v>
      </c>
      <c r="I13" s="122">
        <v>11790</v>
      </c>
      <c r="J13" s="122">
        <v>1323</v>
      </c>
      <c r="K13" s="122">
        <v>12668</v>
      </c>
      <c r="L13" s="122">
        <v>49573.87</v>
      </c>
      <c r="M13" s="122">
        <v>1012</v>
      </c>
      <c r="N13" s="122"/>
      <c r="O13" s="122">
        <v>3699</v>
      </c>
      <c r="P13" s="122">
        <v>12412</v>
      </c>
      <c r="Q13" s="117">
        <v>94354.773709718167</v>
      </c>
      <c r="R13" s="122">
        <v>237493</v>
      </c>
      <c r="S13" s="122"/>
      <c r="T13" s="122">
        <v>923.25</v>
      </c>
      <c r="U13" s="122">
        <v>65770</v>
      </c>
      <c r="V13" s="122">
        <v>11081.3</v>
      </c>
      <c r="W13" s="122"/>
      <c r="X13" s="122">
        <v>22959</v>
      </c>
      <c r="Y13" s="122">
        <v>6129</v>
      </c>
      <c r="Z13" s="122">
        <v>2454.34</v>
      </c>
      <c r="AA13" s="122"/>
      <c r="AB13" s="122">
        <v>95725.73</v>
      </c>
      <c r="AC13" s="122"/>
    </row>
    <row r="14" spans="1:29" s="44" customFormat="1" x14ac:dyDescent="0.25">
      <c r="A14" s="17" t="s">
        <v>119</v>
      </c>
      <c r="B14" s="25">
        <v>174667.53</v>
      </c>
      <c r="C14" s="25">
        <v>7619</v>
      </c>
      <c r="D14" s="25">
        <v>278971</v>
      </c>
      <c r="E14" s="25">
        <v>-102</v>
      </c>
      <c r="F14" s="25">
        <v>70442</v>
      </c>
      <c r="G14" s="25">
        <v>7720.16</v>
      </c>
      <c r="H14" s="25">
        <v>318723.96999999997</v>
      </c>
      <c r="I14" s="25">
        <v>43702</v>
      </c>
      <c r="J14" s="25">
        <v>18064</v>
      </c>
      <c r="K14" s="25">
        <v>279057</v>
      </c>
      <c r="L14" s="25">
        <v>115041.89</v>
      </c>
      <c r="M14" s="25">
        <v>12251</v>
      </c>
      <c r="N14" s="25">
        <v>25819</v>
      </c>
      <c r="O14" s="25">
        <v>18772</v>
      </c>
      <c r="P14" s="25">
        <v>19506</v>
      </c>
      <c r="Q14" s="121">
        <f>Q11-Q13</f>
        <v>430940.1957890318</v>
      </c>
      <c r="R14" s="25">
        <v>1061419</v>
      </c>
      <c r="S14" s="25"/>
      <c r="T14" s="25">
        <v>22057.62</v>
      </c>
      <c r="U14" s="25">
        <v>95433</v>
      </c>
      <c r="V14" s="25">
        <v>11497.3</v>
      </c>
      <c r="W14" s="25">
        <v>52104</v>
      </c>
      <c r="X14" s="25">
        <v>61272</v>
      </c>
      <c r="Y14" s="25">
        <v>89461</v>
      </c>
      <c r="Z14" s="25">
        <v>25960.98</v>
      </c>
      <c r="AA14" s="25">
        <v>99569</v>
      </c>
      <c r="AB14" s="25">
        <v>554830.24</v>
      </c>
      <c r="AC14" s="25">
        <v>27183.32</v>
      </c>
    </row>
    <row r="15" spans="1:29" s="9" customFormat="1" ht="15" customHeight="1" x14ac:dyDescent="0.25">
      <c r="A15" s="4" t="s">
        <v>120</v>
      </c>
      <c r="B15" s="41">
        <v>231293.44</v>
      </c>
      <c r="C15" s="41">
        <v>25172</v>
      </c>
      <c r="D15" s="41">
        <v>266019</v>
      </c>
      <c r="E15" s="41">
        <v>67659</v>
      </c>
      <c r="F15" s="41">
        <v>70442</v>
      </c>
      <c r="G15" s="41">
        <v>7720.16</v>
      </c>
      <c r="H15" s="41">
        <v>293754.65999999997</v>
      </c>
      <c r="I15" s="41">
        <v>43702</v>
      </c>
      <c r="J15" s="41">
        <v>12583</v>
      </c>
      <c r="K15" s="41">
        <v>263876</v>
      </c>
      <c r="L15" s="41">
        <v>115041.89</v>
      </c>
      <c r="M15" s="41">
        <v>12251</v>
      </c>
      <c r="N15" s="41">
        <v>19563</v>
      </c>
      <c r="O15" s="41">
        <v>20410</v>
      </c>
      <c r="P15" s="41">
        <v>19506</v>
      </c>
      <c r="Q15" s="121">
        <v>396733</v>
      </c>
      <c r="R15" s="41">
        <v>915411</v>
      </c>
      <c r="S15" s="41"/>
      <c r="T15" s="41">
        <v>22169.05</v>
      </c>
      <c r="U15" s="41">
        <v>95433</v>
      </c>
      <c r="V15" s="41">
        <v>13916.8</v>
      </c>
      <c r="W15" s="41">
        <v>52104</v>
      </c>
      <c r="X15" s="41">
        <v>71743</v>
      </c>
      <c r="Y15" s="41">
        <v>89461</v>
      </c>
      <c r="Z15" s="41">
        <v>29969.52</v>
      </c>
      <c r="AA15" s="41">
        <v>99569</v>
      </c>
      <c r="AB15" s="41">
        <v>554830.24</v>
      </c>
      <c r="AC15" s="41">
        <v>27622.41</v>
      </c>
    </row>
    <row r="16" spans="1:29" s="9" customFormat="1" ht="14.25" customHeight="1" x14ac:dyDescent="0.25">
      <c r="A16" s="4" t="s">
        <v>121</v>
      </c>
      <c r="B16" s="41">
        <v>71036.490000000005</v>
      </c>
      <c r="C16" s="41">
        <v>16647</v>
      </c>
      <c r="D16" s="41">
        <v>106119</v>
      </c>
      <c r="E16" s="41">
        <v>42491</v>
      </c>
      <c r="F16" s="41">
        <v>43867</v>
      </c>
      <c r="G16" s="41">
        <v>5000</v>
      </c>
      <c r="H16" s="41">
        <v>30018.75</v>
      </c>
      <c r="I16" s="41">
        <v>28379</v>
      </c>
      <c r="J16" s="41">
        <v>8287</v>
      </c>
      <c r="K16" s="41">
        <v>145081</v>
      </c>
      <c r="L16" s="41">
        <v>72082.19</v>
      </c>
      <c r="M16" s="41">
        <v>5000</v>
      </c>
      <c r="N16" s="41">
        <v>8738</v>
      </c>
      <c r="O16" s="41">
        <v>11489</v>
      </c>
      <c r="P16" s="41">
        <v>9031</v>
      </c>
      <c r="Q16" s="121">
        <v>313982</v>
      </c>
      <c r="R16" s="41">
        <v>398662</v>
      </c>
      <c r="S16" s="41"/>
      <c r="T16" s="41">
        <v>5000</v>
      </c>
      <c r="U16" s="41">
        <v>61545</v>
      </c>
      <c r="V16" s="41">
        <v>7540.2</v>
      </c>
      <c r="W16" s="41">
        <v>33575</v>
      </c>
      <c r="X16" s="41">
        <v>39670</v>
      </c>
      <c r="Y16" s="41">
        <v>45224</v>
      </c>
      <c r="Z16" s="41">
        <v>5000</v>
      </c>
      <c r="AA16" s="41">
        <v>60109</v>
      </c>
      <c r="AB16" s="41">
        <v>290750.27</v>
      </c>
      <c r="AC16" s="41">
        <v>16302.69</v>
      </c>
    </row>
    <row r="17" spans="1:29" s="42" customFormat="1" ht="14.25" customHeight="1" x14ac:dyDescent="0.25">
      <c r="A17" s="18" t="s">
        <v>122</v>
      </c>
      <c r="B17" s="41">
        <v>3.26</v>
      </c>
      <c r="C17" s="41">
        <v>1.51</v>
      </c>
      <c r="D17" s="41">
        <v>2.5099999999999998</v>
      </c>
      <c r="E17" s="41">
        <v>1.59</v>
      </c>
      <c r="F17" s="41">
        <v>1.6060000000000001</v>
      </c>
      <c r="G17" s="41">
        <v>1.54</v>
      </c>
      <c r="H17" s="41">
        <v>9.7899999999999991</v>
      </c>
      <c r="I17" s="41">
        <v>1.54</v>
      </c>
      <c r="J17" s="41">
        <v>1.52</v>
      </c>
      <c r="K17" s="41">
        <v>1.82</v>
      </c>
      <c r="L17" s="41">
        <v>1.6</v>
      </c>
      <c r="M17" s="41">
        <v>2.4500000000000002</v>
      </c>
      <c r="N17" s="41">
        <v>2.2400000000000002</v>
      </c>
      <c r="O17" s="41">
        <v>1.78</v>
      </c>
      <c r="P17" s="41">
        <v>2.16</v>
      </c>
      <c r="Q17" s="76">
        <v>1.26</v>
      </c>
      <c r="R17" s="41">
        <v>2.2999999999999998</v>
      </c>
      <c r="S17" s="41"/>
      <c r="T17" s="41">
        <v>4.43</v>
      </c>
      <c r="U17" s="41">
        <v>1.55</v>
      </c>
      <c r="V17" s="41">
        <v>1.85</v>
      </c>
      <c r="W17" s="41">
        <v>1.55</v>
      </c>
      <c r="X17" s="41">
        <v>1.81</v>
      </c>
      <c r="Y17" s="41">
        <v>1.98</v>
      </c>
      <c r="Z17" s="41">
        <v>5.99</v>
      </c>
      <c r="AA17" s="41">
        <v>1.66</v>
      </c>
      <c r="AB17" s="41">
        <v>1.91</v>
      </c>
      <c r="AC17" s="41">
        <v>1.69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8" customWidth="1"/>
    <col min="2" max="57" width="16" style="8" customWidth="1"/>
    <col min="58" max="16384" width="9.140625" style="8"/>
  </cols>
  <sheetData>
    <row r="1" spans="1:57" ht="18.75" x14ac:dyDescent="0.3">
      <c r="A1" s="15" t="s">
        <v>123</v>
      </c>
    </row>
    <row r="2" spans="1:57" x14ac:dyDescent="0.25">
      <c r="A2" s="8" t="s">
        <v>124</v>
      </c>
    </row>
    <row r="3" spans="1:57" x14ac:dyDescent="0.25">
      <c r="A3" s="1" t="s">
        <v>0</v>
      </c>
      <c r="B3" s="105" t="s">
        <v>1</v>
      </c>
      <c r="C3" s="105"/>
      <c r="D3" s="105" t="s">
        <v>2</v>
      </c>
      <c r="E3" s="105"/>
      <c r="F3" s="105" t="s">
        <v>3</v>
      </c>
      <c r="G3" s="105"/>
      <c r="H3" s="105" t="s">
        <v>4</v>
      </c>
      <c r="I3" s="105"/>
      <c r="J3" s="105" t="s">
        <v>5</v>
      </c>
      <c r="K3" s="105"/>
      <c r="L3" s="105" t="s">
        <v>6</v>
      </c>
      <c r="M3" s="105"/>
      <c r="N3" s="105" t="s">
        <v>7</v>
      </c>
      <c r="O3" s="105"/>
      <c r="P3" s="105" t="s">
        <v>8</v>
      </c>
      <c r="Q3" s="105"/>
      <c r="R3" s="105" t="s">
        <v>10</v>
      </c>
      <c r="S3" s="105"/>
      <c r="T3" s="105" t="s">
        <v>11</v>
      </c>
      <c r="U3" s="105"/>
      <c r="V3" s="105" t="s">
        <v>12</v>
      </c>
      <c r="W3" s="105"/>
      <c r="X3" s="105" t="s">
        <v>13</v>
      </c>
      <c r="Y3" s="105"/>
      <c r="Z3" s="105" t="s">
        <v>14</v>
      </c>
      <c r="AA3" s="105"/>
      <c r="AB3" s="105" t="s">
        <v>15</v>
      </c>
      <c r="AC3" s="105"/>
      <c r="AD3" s="105" t="s">
        <v>16</v>
      </c>
      <c r="AE3" s="105"/>
      <c r="AF3" s="105" t="s">
        <v>17</v>
      </c>
      <c r="AG3" s="105"/>
      <c r="AH3" s="105" t="s">
        <v>18</v>
      </c>
      <c r="AI3" s="105"/>
      <c r="AJ3" s="105" t="s">
        <v>19</v>
      </c>
      <c r="AK3" s="105"/>
      <c r="AL3" s="105" t="s">
        <v>20</v>
      </c>
      <c r="AM3" s="105"/>
      <c r="AN3" s="105" t="s">
        <v>21</v>
      </c>
      <c r="AO3" s="105"/>
      <c r="AP3" s="105" t="s">
        <v>22</v>
      </c>
      <c r="AQ3" s="105"/>
      <c r="AR3" s="105" t="s">
        <v>23</v>
      </c>
      <c r="AS3" s="105"/>
      <c r="AT3" s="105" t="s">
        <v>24</v>
      </c>
      <c r="AU3" s="105"/>
      <c r="AV3" s="105" t="s">
        <v>25</v>
      </c>
      <c r="AW3" s="105"/>
      <c r="AX3" s="105" t="s">
        <v>26</v>
      </c>
      <c r="AY3" s="105"/>
      <c r="AZ3" s="105" t="s">
        <v>27</v>
      </c>
      <c r="BA3" s="105"/>
      <c r="BB3" s="106" t="s">
        <v>28</v>
      </c>
      <c r="BC3" s="106"/>
      <c r="BD3" s="105" t="s">
        <v>29</v>
      </c>
      <c r="BE3" s="105"/>
    </row>
    <row r="4" spans="1:57" x14ac:dyDescent="0.25">
      <c r="A4" s="1"/>
      <c r="B4" s="20" t="s">
        <v>134</v>
      </c>
      <c r="C4" s="20" t="s">
        <v>135</v>
      </c>
      <c r="D4" s="20" t="s">
        <v>134</v>
      </c>
      <c r="E4" s="20" t="s">
        <v>135</v>
      </c>
      <c r="F4" s="20" t="s">
        <v>134</v>
      </c>
      <c r="G4" s="20" t="s">
        <v>135</v>
      </c>
      <c r="H4" s="20" t="s">
        <v>134</v>
      </c>
      <c r="I4" s="20" t="s">
        <v>135</v>
      </c>
      <c r="J4" s="20" t="s">
        <v>134</v>
      </c>
      <c r="K4" s="20" t="s">
        <v>135</v>
      </c>
      <c r="L4" s="20" t="s">
        <v>134</v>
      </c>
      <c r="M4" s="20" t="s">
        <v>135</v>
      </c>
      <c r="N4" s="20" t="s">
        <v>134</v>
      </c>
      <c r="O4" s="20" t="s">
        <v>135</v>
      </c>
      <c r="P4" s="20" t="s">
        <v>134</v>
      </c>
      <c r="Q4" s="20" t="s">
        <v>135</v>
      </c>
      <c r="R4" s="20" t="s">
        <v>134</v>
      </c>
      <c r="S4" s="20" t="s">
        <v>135</v>
      </c>
      <c r="T4" s="20" t="s">
        <v>134</v>
      </c>
      <c r="U4" s="20" t="s">
        <v>135</v>
      </c>
      <c r="V4" s="20" t="s">
        <v>134</v>
      </c>
      <c r="W4" s="20" t="s">
        <v>135</v>
      </c>
      <c r="X4" s="20" t="s">
        <v>134</v>
      </c>
      <c r="Y4" s="20" t="s">
        <v>135</v>
      </c>
      <c r="Z4" s="20" t="s">
        <v>134</v>
      </c>
      <c r="AA4" s="20" t="s">
        <v>135</v>
      </c>
      <c r="AB4" s="20" t="s">
        <v>134</v>
      </c>
      <c r="AC4" s="20" t="s">
        <v>135</v>
      </c>
      <c r="AD4" s="20" t="s">
        <v>134</v>
      </c>
      <c r="AE4" s="20" t="s">
        <v>135</v>
      </c>
      <c r="AF4" s="20" t="s">
        <v>134</v>
      </c>
      <c r="AG4" s="20" t="s">
        <v>135</v>
      </c>
      <c r="AH4" s="20" t="s">
        <v>134</v>
      </c>
      <c r="AI4" s="20" t="s">
        <v>135</v>
      </c>
      <c r="AJ4" s="20" t="s">
        <v>134</v>
      </c>
      <c r="AK4" s="20" t="s">
        <v>135</v>
      </c>
      <c r="AL4" s="20" t="s">
        <v>134</v>
      </c>
      <c r="AM4" s="20" t="s">
        <v>135</v>
      </c>
      <c r="AN4" s="20" t="s">
        <v>134</v>
      </c>
      <c r="AO4" s="20" t="s">
        <v>135</v>
      </c>
      <c r="AP4" s="20" t="s">
        <v>134</v>
      </c>
      <c r="AQ4" s="20" t="s">
        <v>135</v>
      </c>
      <c r="AR4" s="20" t="s">
        <v>134</v>
      </c>
      <c r="AS4" s="20" t="s">
        <v>135</v>
      </c>
      <c r="AT4" s="20" t="s">
        <v>134</v>
      </c>
      <c r="AU4" s="20" t="s">
        <v>135</v>
      </c>
      <c r="AV4" s="20" t="s">
        <v>134</v>
      </c>
      <c r="AW4" s="20" t="s">
        <v>135</v>
      </c>
      <c r="AX4" s="20" t="s">
        <v>134</v>
      </c>
      <c r="AY4" s="20" t="s">
        <v>135</v>
      </c>
      <c r="AZ4" s="20" t="s">
        <v>134</v>
      </c>
      <c r="BA4" s="20" t="s">
        <v>135</v>
      </c>
      <c r="BB4" s="20" t="s">
        <v>134</v>
      </c>
      <c r="BC4" s="20" t="s">
        <v>135</v>
      </c>
      <c r="BD4" s="20" t="s">
        <v>134</v>
      </c>
      <c r="BE4" s="20" t="s">
        <v>135</v>
      </c>
    </row>
    <row r="5" spans="1:57" x14ac:dyDescent="0.25">
      <c r="A5" s="11" t="s">
        <v>125</v>
      </c>
      <c r="B5" s="11"/>
      <c r="C5" s="11"/>
      <c r="D5" s="11">
        <v>522904</v>
      </c>
      <c r="E5" s="11">
        <v>51748</v>
      </c>
      <c r="F5" s="11">
        <v>2497232</v>
      </c>
      <c r="G5" s="11">
        <v>139604</v>
      </c>
      <c r="H5" s="11">
        <v>333350</v>
      </c>
      <c r="I5" s="11">
        <v>29078.77</v>
      </c>
      <c r="J5" s="11">
        <v>86863</v>
      </c>
      <c r="K5" s="11">
        <v>10826</v>
      </c>
      <c r="L5" s="11">
        <v>40498</v>
      </c>
      <c r="M5" s="11">
        <v>3584</v>
      </c>
      <c r="N5" s="11"/>
      <c r="O5" s="11"/>
      <c r="P5" s="11">
        <v>419903</v>
      </c>
      <c r="Q5" s="11">
        <v>45909.4</v>
      </c>
      <c r="R5" s="11">
        <v>53737</v>
      </c>
      <c r="S5" s="11">
        <v>5301.11</v>
      </c>
      <c r="T5" s="11">
        <v>2876384</v>
      </c>
      <c r="U5" s="11">
        <v>129396</v>
      </c>
      <c r="V5" s="11">
        <v>2989892</v>
      </c>
      <c r="W5" s="11">
        <v>105227.78</v>
      </c>
      <c r="X5" s="11"/>
      <c r="Y5" s="11"/>
      <c r="Z5" s="11">
        <v>23542</v>
      </c>
      <c r="AA5" s="11">
        <v>2912</v>
      </c>
      <c r="AB5" s="11">
        <v>96753</v>
      </c>
      <c r="AC5" s="11">
        <v>10481</v>
      </c>
      <c r="AD5" s="11">
        <v>148786</v>
      </c>
      <c r="AE5" s="11">
        <v>24454.1</v>
      </c>
      <c r="AF5" s="11">
        <v>11542929</v>
      </c>
      <c r="AG5" s="11">
        <v>633817.77</v>
      </c>
      <c r="AH5" s="11">
        <v>3581466</v>
      </c>
      <c r="AI5" s="11">
        <v>201989</v>
      </c>
      <c r="AJ5" s="11">
        <v>8163754</v>
      </c>
      <c r="AK5" s="11">
        <v>421458.85</v>
      </c>
      <c r="AL5" s="11">
        <v>209</v>
      </c>
      <c r="AM5" s="11">
        <v>100.34578999999999</v>
      </c>
      <c r="AN5" s="11">
        <v>2485146</v>
      </c>
      <c r="AO5" s="11">
        <v>128003</v>
      </c>
      <c r="AP5" s="11">
        <v>114323</v>
      </c>
      <c r="AQ5" s="11">
        <v>12733.1</v>
      </c>
      <c r="AR5" s="11">
        <v>188547</v>
      </c>
      <c r="AS5" s="11">
        <v>18405</v>
      </c>
      <c r="AT5" s="11"/>
      <c r="AU5" s="11"/>
      <c r="AV5" s="11">
        <v>139074</v>
      </c>
      <c r="AW5" s="11">
        <v>8066.13</v>
      </c>
      <c r="AX5" s="11">
        <v>1737795</v>
      </c>
      <c r="AY5" s="11">
        <v>146965</v>
      </c>
      <c r="AZ5" s="11">
        <v>810063</v>
      </c>
      <c r="BA5" s="11">
        <v>79692</v>
      </c>
      <c r="BB5" s="11">
        <v>14225239</v>
      </c>
      <c r="BC5" s="11">
        <v>605697</v>
      </c>
      <c r="BD5" s="11">
        <v>144601</v>
      </c>
      <c r="BE5" s="11">
        <v>6536</v>
      </c>
    </row>
    <row r="6" spans="1:57" x14ac:dyDescent="0.25">
      <c r="A6" s="11" t="s">
        <v>126</v>
      </c>
      <c r="B6" s="11"/>
      <c r="C6" s="11"/>
      <c r="D6" s="11">
        <v>1918</v>
      </c>
      <c r="E6" s="11">
        <v>8596</v>
      </c>
      <c r="F6" s="11">
        <v>1296474</v>
      </c>
      <c r="G6" s="11">
        <v>39476</v>
      </c>
      <c r="H6" s="11">
        <v>1624</v>
      </c>
      <c r="I6" s="11">
        <v>111.97</v>
      </c>
      <c r="J6" s="11">
        <v>697452</v>
      </c>
      <c r="K6" s="11">
        <v>73870</v>
      </c>
      <c r="L6" s="11">
        <v>1819</v>
      </c>
      <c r="M6" s="11">
        <v>86</v>
      </c>
      <c r="N6" s="11">
        <v>38</v>
      </c>
      <c r="O6" s="11">
        <v>311.47000000000003</v>
      </c>
      <c r="P6" s="11">
        <v>152813</v>
      </c>
      <c r="Q6" s="11">
        <v>2764.13</v>
      </c>
      <c r="R6" s="11"/>
      <c r="S6" s="11"/>
      <c r="T6" s="11">
        <v>458292</v>
      </c>
      <c r="U6" s="11">
        <v>59557</v>
      </c>
      <c r="V6" s="11">
        <v>9014</v>
      </c>
      <c r="W6" s="11">
        <v>227.04</v>
      </c>
      <c r="X6" s="11">
        <v>2427</v>
      </c>
      <c r="Y6" s="11">
        <v>222.55</v>
      </c>
      <c r="Z6" s="11">
        <v>0</v>
      </c>
      <c r="AA6" s="11">
        <v>0</v>
      </c>
      <c r="AB6" s="11"/>
      <c r="AC6" s="11"/>
      <c r="AD6" s="11">
        <v>24915</v>
      </c>
      <c r="AE6" s="11">
        <v>4268.96</v>
      </c>
      <c r="AF6" s="11">
        <v>937483</v>
      </c>
      <c r="AG6" s="11">
        <v>35365.870000000003</v>
      </c>
      <c r="AH6" s="11">
        <v>71263</v>
      </c>
      <c r="AI6" s="11">
        <v>3535</v>
      </c>
      <c r="AJ6" s="11">
        <v>426276</v>
      </c>
      <c r="AK6" s="11">
        <v>17350.169999999998</v>
      </c>
      <c r="AL6" s="11">
        <v>0</v>
      </c>
      <c r="AM6" s="11">
        <v>0</v>
      </c>
      <c r="AN6" s="11">
        <v>88795</v>
      </c>
      <c r="AO6" s="11">
        <v>5225</v>
      </c>
      <c r="AP6" s="11">
        <v>61418</v>
      </c>
      <c r="AQ6" s="11">
        <v>13917.9</v>
      </c>
      <c r="AR6" s="11">
        <v>78319</v>
      </c>
      <c r="AS6" s="11">
        <v>7515</v>
      </c>
      <c r="AT6" s="11"/>
      <c r="AU6" s="11"/>
      <c r="AV6" s="11"/>
      <c r="AW6" s="11"/>
      <c r="AX6" s="11"/>
      <c r="AY6" s="11"/>
      <c r="AZ6" s="11">
        <v>453225</v>
      </c>
      <c r="BA6" s="11">
        <v>23016</v>
      </c>
      <c r="BB6" s="11">
        <v>1250178</v>
      </c>
      <c r="BC6" s="11">
        <v>60937</v>
      </c>
      <c r="BD6" s="11">
        <v>659392</v>
      </c>
      <c r="BE6" s="11">
        <v>33044</v>
      </c>
    </row>
    <row r="7" spans="1:57" x14ac:dyDescent="0.25">
      <c r="A7" s="11" t="s">
        <v>127</v>
      </c>
      <c r="B7" s="11"/>
      <c r="C7" s="11"/>
      <c r="D7" s="11">
        <v>1229</v>
      </c>
      <c r="E7" s="11">
        <v>131</v>
      </c>
      <c r="F7" s="11">
        <v>1036652</v>
      </c>
      <c r="G7" s="11">
        <v>73296</v>
      </c>
      <c r="H7" s="11">
        <v>22</v>
      </c>
      <c r="I7" s="11">
        <v>2.0299999999999998</v>
      </c>
      <c r="J7" s="11">
        <v>282147</v>
      </c>
      <c r="K7" s="11">
        <v>67332</v>
      </c>
      <c r="L7" s="11">
        <v>14902</v>
      </c>
      <c r="M7" s="11">
        <v>2404</v>
      </c>
      <c r="N7" s="11"/>
      <c r="O7" s="11"/>
      <c r="P7" s="11">
        <v>54005</v>
      </c>
      <c r="Q7" s="11">
        <v>2867.5</v>
      </c>
      <c r="R7" s="11">
        <v>64177</v>
      </c>
      <c r="S7" s="11">
        <v>6096.45</v>
      </c>
      <c r="T7" s="11">
        <v>154692</v>
      </c>
      <c r="U7" s="11">
        <v>14533</v>
      </c>
      <c r="V7" s="11">
        <v>1097702</v>
      </c>
      <c r="W7" s="11">
        <v>18504.03</v>
      </c>
      <c r="X7" s="11">
        <v>340</v>
      </c>
      <c r="Y7" s="11">
        <v>79.94</v>
      </c>
      <c r="Z7" s="11">
        <v>1460</v>
      </c>
      <c r="AA7" s="11">
        <v>63</v>
      </c>
      <c r="AB7" s="11">
        <v>166801</v>
      </c>
      <c r="AC7" s="11">
        <v>17692</v>
      </c>
      <c r="AD7" s="11">
        <v>6</v>
      </c>
      <c r="AE7" s="11">
        <v>2944.69</v>
      </c>
      <c r="AF7" s="11">
        <v>25597</v>
      </c>
      <c r="AG7" s="11">
        <v>19539.27</v>
      </c>
      <c r="AH7" s="11">
        <v>10877</v>
      </c>
      <c r="AI7" s="11">
        <v>4332</v>
      </c>
      <c r="AJ7" s="11">
        <v>170775</v>
      </c>
      <c r="AK7" s="11">
        <v>7249.28</v>
      </c>
      <c r="AL7" s="11">
        <v>0</v>
      </c>
      <c r="AM7" s="11">
        <v>0</v>
      </c>
      <c r="AN7" s="11">
        <v>268262</v>
      </c>
      <c r="AO7" s="11">
        <v>12826</v>
      </c>
      <c r="AP7" s="11">
        <v>11191</v>
      </c>
      <c r="AQ7" s="11">
        <v>1673</v>
      </c>
      <c r="AR7" s="11">
        <v>178974</v>
      </c>
      <c r="AS7" s="11">
        <v>16668</v>
      </c>
      <c r="AT7" s="11"/>
      <c r="AU7" s="11"/>
      <c r="AV7" s="11">
        <v>692754</v>
      </c>
      <c r="AW7" s="11">
        <v>118625.67</v>
      </c>
      <c r="AX7" s="11">
        <v>4741</v>
      </c>
      <c r="AY7" s="11">
        <v>376</v>
      </c>
      <c r="AZ7" s="11">
        <v>152424</v>
      </c>
      <c r="BA7" s="11">
        <v>4686</v>
      </c>
      <c r="BB7" s="11">
        <v>156276</v>
      </c>
      <c r="BC7" s="11">
        <v>8576</v>
      </c>
      <c r="BD7" s="11"/>
      <c r="BE7" s="11"/>
    </row>
    <row r="8" spans="1:57" x14ac:dyDescent="0.25">
      <c r="A8" s="11" t="s">
        <v>128</v>
      </c>
      <c r="B8" s="11">
        <v>4190</v>
      </c>
      <c r="C8" s="11">
        <v>320</v>
      </c>
      <c r="D8" s="11">
        <v>64654</v>
      </c>
      <c r="E8" s="11">
        <v>24880</v>
      </c>
      <c r="F8" s="11">
        <v>2622653</v>
      </c>
      <c r="G8" s="11">
        <v>235360</v>
      </c>
      <c r="H8" s="11">
        <v>346902</v>
      </c>
      <c r="I8" s="11">
        <v>51922.11</v>
      </c>
      <c r="J8" s="11">
        <v>230541</v>
      </c>
      <c r="K8" s="11">
        <v>21395</v>
      </c>
      <c r="L8" s="11">
        <v>14293</v>
      </c>
      <c r="M8" s="11">
        <v>6315</v>
      </c>
      <c r="N8" s="11">
        <v>207</v>
      </c>
      <c r="O8" s="11">
        <v>5025.8599999999997</v>
      </c>
      <c r="P8" s="11">
        <v>181411</v>
      </c>
      <c r="Q8" s="11">
        <v>46842.07</v>
      </c>
      <c r="R8" s="11">
        <v>104906</v>
      </c>
      <c r="S8" s="11">
        <v>13070.01</v>
      </c>
      <c r="T8" s="11">
        <v>3640817</v>
      </c>
      <c r="U8" s="11">
        <v>260521</v>
      </c>
      <c r="V8" s="11">
        <v>1241472</v>
      </c>
      <c r="W8" s="11">
        <v>149940.32</v>
      </c>
      <c r="X8" s="11">
        <v>167</v>
      </c>
      <c r="Y8" s="11">
        <v>23.72</v>
      </c>
      <c r="Z8" s="11">
        <v>71622</v>
      </c>
      <c r="AA8" s="11">
        <v>13557</v>
      </c>
      <c r="AB8" s="11">
        <v>31466</v>
      </c>
      <c r="AC8" s="11">
        <v>7003</v>
      </c>
      <c r="AD8" s="11">
        <v>22523</v>
      </c>
      <c r="AE8" s="11">
        <v>4084.75</v>
      </c>
      <c r="AF8" s="11">
        <v>356605</v>
      </c>
      <c r="AG8" s="11">
        <v>271984.05</v>
      </c>
      <c r="AH8" s="11">
        <v>498676</v>
      </c>
      <c r="AI8" s="11">
        <v>96761</v>
      </c>
      <c r="AJ8" s="11">
        <v>509912</v>
      </c>
      <c r="AK8" s="11">
        <v>139338.26999999999</v>
      </c>
      <c r="AL8" s="11">
        <v>1842</v>
      </c>
      <c r="AM8" s="11">
        <v>2285.84</v>
      </c>
      <c r="AN8" s="11">
        <v>598148</v>
      </c>
      <c r="AO8" s="11">
        <v>57947</v>
      </c>
      <c r="AP8" s="11">
        <v>49961</v>
      </c>
      <c r="AQ8" s="11">
        <v>14855.3</v>
      </c>
      <c r="AR8" s="11">
        <v>786534</v>
      </c>
      <c r="AS8" s="11">
        <v>92362</v>
      </c>
      <c r="AT8" s="11"/>
      <c r="AU8" s="11"/>
      <c r="AV8" s="11">
        <v>46656</v>
      </c>
      <c r="AW8" s="11">
        <v>3571.32</v>
      </c>
      <c r="AX8" s="11">
        <v>28795</v>
      </c>
      <c r="AY8" s="11">
        <v>4262</v>
      </c>
      <c r="AZ8" s="11">
        <v>701648</v>
      </c>
      <c r="BA8" s="11">
        <v>109571</v>
      </c>
      <c r="BB8" s="11">
        <v>478640</v>
      </c>
      <c r="BC8" s="11">
        <v>281783</v>
      </c>
      <c r="BD8" s="11">
        <v>117896</v>
      </c>
      <c r="BE8" s="11">
        <v>18234</v>
      </c>
    </row>
    <row r="9" spans="1:57" x14ac:dyDescent="0.25">
      <c r="A9" s="11" t="s">
        <v>129</v>
      </c>
      <c r="B9" s="11">
        <v>2026</v>
      </c>
      <c r="C9" s="11">
        <v>277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0.25</v>
      </c>
      <c r="R9" s="11">
        <v>2637</v>
      </c>
      <c r="S9" s="11">
        <v>11.82</v>
      </c>
      <c r="T9" s="11"/>
      <c r="U9" s="11"/>
      <c r="V9" s="11">
        <v>3638</v>
      </c>
      <c r="W9" s="11">
        <v>48.57</v>
      </c>
      <c r="X9" s="11"/>
      <c r="Y9" s="11"/>
      <c r="Z9" s="11">
        <v>0</v>
      </c>
      <c r="AA9" s="11">
        <v>0</v>
      </c>
      <c r="AB9" s="11"/>
      <c r="AC9" s="11"/>
      <c r="AD9" s="11">
        <v>0</v>
      </c>
      <c r="AE9" s="11">
        <v>0</v>
      </c>
      <c r="AF9" s="11">
        <v>372</v>
      </c>
      <c r="AG9" s="11">
        <v>1.75</v>
      </c>
      <c r="AH9" s="11">
        <v>78</v>
      </c>
      <c r="AI9" s="11">
        <v>1</v>
      </c>
      <c r="AJ9" s="11">
        <v>0</v>
      </c>
      <c r="AK9" s="11">
        <v>0</v>
      </c>
      <c r="AL9" s="11">
        <v>0</v>
      </c>
      <c r="AM9" s="11"/>
      <c r="AN9" s="11"/>
      <c r="AO9" s="11"/>
      <c r="AP9" s="11"/>
      <c r="AQ9" s="11"/>
      <c r="AR9" s="11">
        <v>62</v>
      </c>
      <c r="AS9" s="11">
        <v>148</v>
      </c>
      <c r="AT9" s="11"/>
      <c r="AU9" s="11"/>
      <c r="AV9" s="11"/>
      <c r="AW9" s="11"/>
      <c r="AX9" s="11"/>
      <c r="AY9" s="11"/>
      <c r="AZ9" s="11"/>
      <c r="BA9" s="11"/>
      <c r="BB9" s="11">
        <v>368</v>
      </c>
      <c r="BC9" s="11">
        <v>27</v>
      </c>
      <c r="BD9" s="11"/>
      <c r="BE9" s="11"/>
    </row>
    <row r="10" spans="1:57" x14ac:dyDescent="0.25">
      <c r="A10" s="11" t="s">
        <v>130</v>
      </c>
      <c r="B10" s="11">
        <v>91734</v>
      </c>
      <c r="C10" s="11">
        <v>2667</v>
      </c>
      <c r="D10" s="11">
        <v>115018</v>
      </c>
      <c r="E10" s="11">
        <v>16863</v>
      </c>
      <c r="F10" s="11">
        <v>945315</v>
      </c>
      <c r="G10" s="11">
        <v>95479</v>
      </c>
      <c r="H10" s="11">
        <v>1181749</v>
      </c>
      <c r="I10" s="11">
        <v>46326.99</v>
      </c>
      <c r="J10" s="11">
        <v>351665</v>
      </c>
      <c r="K10" s="11">
        <v>71777</v>
      </c>
      <c r="L10" s="11">
        <v>14052</v>
      </c>
      <c r="M10" s="11">
        <v>1992</v>
      </c>
      <c r="N10" s="11">
        <v>4935</v>
      </c>
      <c r="O10" s="11">
        <v>32871.64</v>
      </c>
      <c r="P10" s="11">
        <v>470759</v>
      </c>
      <c r="Q10" s="11">
        <v>59097.4</v>
      </c>
      <c r="R10" s="11">
        <v>276016</v>
      </c>
      <c r="S10" s="11">
        <v>22859.72</v>
      </c>
      <c r="T10" s="11">
        <f>1198439+7471520</f>
        <v>8669959</v>
      </c>
      <c r="U10" s="11">
        <f>19742+325323</f>
        <v>345065</v>
      </c>
      <c r="V10" s="11">
        <v>1414976</v>
      </c>
      <c r="W10" s="11">
        <v>95186.559999999998</v>
      </c>
      <c r="X10" s="11">
        <v>244</v>
      </c>
      <c r="Y10" s="11">
        <v>44.69</v>
      </c>
      <c r="Z10" s="11">
        <v>320631</v>
      </c>
      <c r="AA10" s="11">
        <v>24340</v>
      </c>
      <c r="AB10" s="11">
        <v>48953</v>
      </c>
      <c r="AC10" s="11">
        <v>5218</v>
      </c>
      <c r="AD10" s="11">
        <v>68859</v>
      </c>
      <c r="AE10" s="11">
        <v>11848.43</v>
      </c>
      <c r="AF10" s="11">
        <v>654678</v>
      </c>
      <c r="AG10" s="11">
        <v>239960.29</v>
      </c>
      <c r="AH10" s="11">
        <v>2547798</v>
      </c>
      <c r="AI10" s="11">
        <v>111356</v>
      </c>
      <c r="AJ10" s="11">
        <v>2459366</v>
      </c>
      <c r="AK10" s="11">
        <v>246077.79</v>
      </c>
      <c r="AL10" s="11">
        <v>2097</v>
      </c>
      <c r="AM10" s="11">
        <v>490</v>
      </c>
      <c r="AN10" s="11">
        <v>472060</v>
      </c>
      <c r="AO10" s="11">
        <v>75155</v>
      </c>
      <c r="AP10" s="11">
        <v>78032</v>
      </c>
      <c r="AQ10" s="11">
        <v>7152.9</v>
      </c>
      <c r="AR10" s="11">
        <v>394227</v>
      </c>
      <c r="AS10" s="11">
        <v>34314</v>
      </c>
      <c r="AT10" s="11"/>
      <c r="AU10" s="11"/>
      <c r="AV10" s="11">
        <v>919184</v>
      </c>
      <c r="AW10" s="11">
        <v>40963.620000000003</v>
      </c>
      <c r="AX10" s="11">
        <v>543223</v>
      </c>
      <c r="AY10" s="11">
        <v>49131</v>
      </c>
      <c r="AZ10" s="11">
        <v>1200592</v>
      </c>
      <c r="BA10" s="11">
        <v>78892</v>
      </c>
      <c r="BB10" s="11">
        <v>1401984</v>
      </c>
      <c r="BC10" s="11">
        <v>268018</v>
      </c>
      <c r="BD10" s="11">
        <v>94566</v>
      </c>
      <c r="BE10" s="11">
        <v>32565</v>
      </c>
    </row>
    <row r="11" spans="1:57" x14ac:dyDescent="0.25">
      <c r="A11" s="11" t="s">
        <v>41</v>
      </c>
      <c r="B11" s="11">
        <f t="shared" ref="B11:BB11" si="0">B12-B10-B9-B8-B7-B6-B5</f>
        <v>966952</v>
      </c>
      <c r="C11" s="11">
        <f t="shared" si="0"/>
        <v>348858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-1.0000000005675247E-2</v>
      </c>
      <c r="J11" s="11">
        <f t="shared" si="0"/>
        <v>-1</v>
      </c>
      <c r="K11" s="11">
        <f t="shared" si="0"/>
        <v>-1</v>
      </c>
      <c r="L11" s="11">
        <f t="shared" si="0"/>
        <v>0</v>
      </c>
      <c r="M11" s="11">
        <f t="shared" si="0"/>
        <v>1</v>
      </c>
      <c r="N11" s="11">
        <f t="shared" si="0"/>
        <v>0</v>
      </c>
      <c r="O11" s="11">
        <f t="shared" si="0"/>
        <v>3.000000000088221E-2</v>
      </c>
      <c r="P11" s="11">
        <f t="shared" si="0"/>
        <v>4538</v>
      </c>
      <c r="Q11" s="11">
        <f t="shared" si="0"/>
        <v>556.22000000000844</v>
      </c>
      <c r="R11" s="11">
        <f t="shared" si="0"/>
        <v>0</v>
      </c>
      <c r="S11" s="11">
        <f t="shared" si="0"/>
        <v>-0.11000000000058208</v>
      </c>
      <c r="T11" s="11">
        <f t="shared" si="0"/>
        <v>0</v>
      </c>
      <c r="U11" s="11">
        <f t="shared" si="0"/>
        <v>-1</v>
      </c>
      <c r="V11" s="11">
        <f t="shared" si="0"/>
        <v>0</v>
      </c>
      <c r="W11" s="11">
        <f t="shared" si="0"/>
        <v>9.9999999947613105E-3</v>
      </c>
      <c r="X11" s="11">
        <v>3178</v>
      </c>
      <c r="Y11" s="11">
        <v>370.89</v>
      </c>
      <c r="Z11" s="11">
        <f t="shared" si="0"/>
        <v>0</v>
      </c>
      <c r="AA11" s="11">
        <f t="shared" si="0"/>
        <v>-0.13999999999941792</v>
      </c>
      <c r="AB11" s="11">
        <f t="shared" si="0"/>
        <v>0</v>
      </c>
      <c r="AC11" s="11">
        <f t="shared" si="0"/>
        <v>0</v>
      </c>
      <c r="AD11" s="11">
        <f t="shared" si="0"/>
        <v>0</v>
      </c>
      <c r="AE11" s="11">
        <f t="shared" si="0"/>
        <v>0</v>
      </c>
      <c r="AF11" s="11">
        <f t="shared" si="0"/>
        <v>7862</v>
      </c>
      <c r="AG11" s="11">
        <f t="shared" si="0"/>
        <v>396.61999999999534</v>
      </c>
      <c r="AH11" s="11">
        <f t="shared" si="0"/>
        <v>0</v>
      </c>
      <c r="AI11" s="11">
        <f t="shared" si="0"/>
        <v>1</v>
      </c>
      <c r="AJ11" s="11">
        <f t="shared" si="0"/>
        <v>0</v>
      </c>
      <c r="AK11" s="11">
        <f t="shared" si="0"/>
        <v>0</v>
      </c>
      <c r="AL11" s="11">
        <f t="shared" si="0"/>
        <v>0</v>
      </c>
      <c r="AM11" s="11">
        <f t="shared" si="0"/>
        <v>-0.27579000000028486</v>
      </c>
      <c r="AN11" s="11">
        <f t="shared" si="0"/>
        <v>0</v>
      </c>
      <c r="AO11" s="11">
        <f t="shared" si="0"/>
        <v>0</v>
      </c>
      <c r="AP11" s="11">
        <f t="shared" si="0"/>
        <v>0</v>
      </c>
      <c r="AQ11" s="11">
        <f t="shared" si="0"/>
        <v>-0.2000000000007276</v>
      </c>
      <c r="AR11" s="11">
        <f t="shared" si="0"/>
        <v>0</v>
      </c>
      <c r="AS11" s="11">
        <f t="shared" si="0"/>
        <v>0</v>
      </c>
      <c r="AT11" s="11">
        <f t="shared" si="0"/>
        <v>0</v>
      </c>
      <c r="AU11" s="11">
        <f t="shared" si="0"/>
        <v>0</v>
      </c>
      <c r="AV11" s="11">
        <f t="shared" si="0"/>
        <v>0</v>
      </c>
      <c r="AW11" s="11">
        <f t="shared" si="0"/>
        <v>-1.0004441719502211E-11</v>
      </c>
      <c r="AX11" s="11">
        <f t="shared" si="0"/>
        <v>0</v>
      </c>
      <c r="AY11" s="11">
        <f t="shared" si="0"/>
        <v>0</v>
      </c>
      <c r="AZ11" s="11">
        <f t="shared" si="0"/>
        <v>0</v>
      </c>
      <c r="BA11" s="11">
        <f t="shared" si="0"/>
        <v>-2</v>
      </c>
      <c r="BB11" s="11">
        <f t="shared" si="0"/>
        <v>0</v>
      </c>
      <c r="BC11" s="11">
        <f t="shared" ref="BC11:BE11" si="1">BC12-BC10-BC9-BC8-BC7-BC6-BC5</f>
        <v>0</v>
      </c>
      <c r="BD11" s="11">
        <f t="shared" si="1"/>
        <v>0</v>
      </c>
      <c r="BE11" s="11">
        <f t="shared" si="1"/>
        <v>0</v>
      </c>
    </row>
    <row r="12" spans="1:57" s="9" customFormat="1" x14ac:dyDescent="0.25">
      <c r="A12" s="12" t="s">
        <v>131</v>
      </c>
      <c r="B12" s="12">
        <v>1064902</v>
      </c>
      <c r="C12" s="12">
        <v>352122</v>
      </c>
      <c r="D12" s="12">
        <v>705723</v>
      </c>
      <c r="E12" s="12">
        <v>102218</v>
      </c>
      <c r="F12" s="12">
        <v>8398326</v>
      </c>
      <c r="G12" s="12">
        <v>583215</v>
      </c>
      <c r="H12" s="12">
        <v>1863647</v>
      </c>
      <c r="I12" s="12">
        <v>127441.86</v>
      </c>
      <c r="J12" s="12">
        <v>1648667</v>
      </c>
      <c r="K12" s="12">
        <v>245199</v>
      </c>
      <c r="L12" s="12">
        <v>85564</v>
      </c>
      <c r="M12" s="12">
        <v>14382</v>
      </c>
      <c r="N12" s="12">
        <v>5180</v>
      </c>
      <c r="O12" s="12">
        <v>38209</v>
      </c>
      <c r="P12" s="12">
        <v>1283430</v>
      </c>
      <c r="Q12" s="12">
        <v>158036.97</v>
      </c>
      <c r="R12" s="12">
        <v>501473</v>
      </c>
      <c r="S12" s="12">
        <v>47339</v>
      </c>
      <c r="T12" s="12">
        <v>15800144</v>
      </c>
      <c r="U12" s="12">
        <v>809071</v>
      </c>
      <c r="V12" s="12">
        <v>6756694</v>
      </c>
      <c r="W12" s="12">
        <v>369134.31</v>
      </c>
      <c r="X12" s="12">
        <v>3178</v>
      </c>
      <c r="Y12" s="12">
        <v>370.89</v>
      </c>
      <c r="Z12" s="12">
        <v>417255</v>
      </c>
      <c r="AA12" s="12">
        <v>40871.86</v>
      </c>
      <c r="AB12" s="12">
        <v>343973</v>
      </c>
      <c r="AC12" s="12">
        <v>40394</v>
      </c>
      <c r="AD12" s="12">
        <v>265089</v>
      </c>
      <c r="AE12" s="12">
        <v>47600.93</v>
      </c>
      <c r="AF12" s="12">
        <v>13525526</v>
      </c>
      <c r="AG12" s="12">
        <v>1201065.6200000001</v>
      </c>
      <c r="AH12" s="12">
        <v>6710158</v>
      </c>
      <c r="AI12" s="12">
        <v>417975</v>
      </c>
      <c r="AJ12" s="12">
        <v>11730083</v>
      </c>
      <c r="AK12" s="12">
        <v>831474.36</v>
      </c>
      <c r="AL12" s="12">
        <v>4148</v>
      </c>
      <c r="AM12" s="12">
        <v>2875.91</v>
      </c>
      <c r="AN12" s="12">
        <v>3912411</v>
      </c>
      <c r="AO12" s="12">
        <v>279156</v>
      </c>
      <c r="AP12" s="12">
        <v>314925</v>
      </c>
      <c r="AQ12" s="12">
        <v>50332</v>
      </c>
      <c r="AR12" s="12">
        <v>1626663</v>
      </c>
      <c r="AS12" s="12">
        <v>169412</v>
      </c>
      <c r="AT12" s="12"/>
      <c r="AU12" s="12"/>
      <c r="AV12" s="12">
        <v>1797668</v>
      </c>
      <c r="AW12" s="12">
        <v>171226.74</v>
      </c>
      <c r="AX12" s="12">
        <v>2314554</v>
      </c>
      <c r="AY12" s="12">
        <v>200734</v>
      </c>
      <c r="AZ12" s="12">
        <v>3317952</v>
      </c>
      <c r="BA12" s="12">
        <v>295855</v>
      </c>
      <c r="BB12" s="12">
        <v>17512685</v>
      </c>
      <c r="BC12" s="12">
        <v>1225038</v>
      </c>
      <c r="BD12" s="12">
        <v>1016455</v>
      </c>
      <c r="BE12" s="12">
        <v>90379</v>
      </c>
    </row>
    <row r="13" spans="1:57" x14ac:dyDescent="0.25">
      <c r="A13" s="11" t="s">
        <v>132</v>
      </c>
      <c r="B13" s="11"/>
      <c r="C13" s="11"/>
      <c r="D13" s="11"/>
      <c r="E13" s="11"/>
      <c r="F13" s="11"/>
      <c r="G13" s="11"/>
      <c r="H13" s="11"/>
      <c r="I13" s="11"/>
      <c r="J13" s="11"/>
      <c r="K13" s="11">
        <v>1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>
        <v>-0.41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57" s="9" customFormat="1" x14ac:dyDescent="0.25">
      <c r="A14" s="12" t="s">
        <v>133</v>
      </c>
      <c r="B14" s="12">
        <f t="shared" ref="B14:BB14" si="2">B12+B13</f>
        <v>1064902</v>
      </c>
      <c r="C14" s="12">
        <f t="shared" si="2"/>
        <v>352122</v>
      </c>
      <c r="D14" s="12">
        <f t="shared" si="2"/>
        <v>705723</v>
      </c>
      <c r="E14" s="12">
        <f t="shared" si="2"/>
        <v>102218</v>
      </c>
      <c r="F14" s="12">
        <f t="shared" si="2"/>
        <v>8398326</v>
      </c>
      <c r="G14" s="12">
        <f t="shared" si="2"/>
        <v>583215</v>
      </c>
      <c r="H14" s="12">
        <f t="shared" si="2"/>
        <v>1863647</v>
      </c>
      <c r="I14" s="12">
        <f t="shared" si="2"/>
        <v>127441.86</v>
      </c>
      <c r="J14" s="12">
        <f t="shared" si="2"/>
        <v>1648667</v>
      </c>
      <c r="K14" s="12">
        <f t="shared" si="2"/>
        <v>245200</v>
      </c>
      <c r="L14" s="12">
        <f t="shared" si="2"/>
        <v>85564</v>
      </c>
      <c r="M14" s="12">
        <f t="shared" si="2"/>
        <v>14382</v>
      </c>
      <c r="N14" s="12">
        <f t="shared" si="2"/>
        <v>5180</v>
      </c>
      <c r="O14" s="12">
        <f t="shared" si="2"/>
        <v>38209</v>
      </c>
      <c r="P14" s="12">
        <f t="shared" si="2"/>
        <v>1283430</v>
      </c>
      <c r="Q14" s="12">
        <f t="shared" si="2"/>
        <v>158036.97</v>
      </c>
      <c r="R14" s="12">
        <f t="shared" si="2"/>
        <v>501473</v>
      </c>
      <c r="S14" s="12">
        <f t="shared" si="2"/>
        <v>47339</v>
      </c>
      <c r="T14" s="12">
        <f t="shared" si="2"/>
        <v>15800144</v>
      </c>
      <c r="U14" s="12">
        <f t="shared" si="2"/>
        <v>809071</v>
      </c>
      <c r="V14" s="12">
        <f t="shared" si="2"/>
        <v>6756694</v>
      </c>
      <c r="W14" s="12">
        <f t="shared" si="2"/>
        <v>369133.9</v>
      </c>
      <c r="X14" s="12">
        <f t="shared" si="2"/>
        <v>3178</v>
      </c>
      <c r="Y14" s="12">
        <f t="shared" si="2"/>
        <v>370.89</v>
      </c>
      <c r="Z14" s="12">
        <f t="shared" si="2"/>
        <v>417255</v>
      </c>
      <c r="AA14" s="12">
        <f t="shared" si="2"/>
        <v>40871.86</v>
      </c>
      <c r="AB14" s="12">
        <f t="shared" si="2"/>
        <v>343973</v>
      </c>
      <c r="AC14" s="12">
        <f t="shared" si="2"/>
        <v>40394</v>
      </c>
      <c r="AD14" s="12">
        <f t="shared" si="2"/>
        <v>265089</v>
      </c>
      <c r="AE14" s="12">
        <f t="shared" si="2"/>
        <v>47600.93</v>
      </c>
      <c r="AF14" s="12">
        <f t="shared" si="2"/>
        <v>13525526</v>
      </c>
      <c r="AG14" s="12">
        <f t="shared" si="2"/>
        <v>1201065.6200000001</v>
      </c>
      <c r="AH14" s="12">
        <f t="shared" si="2"/>
        <v>6710158</v>
      </c>
      <c r="AI14" s="12">
        <f t="shared" si="2"/>
        <v>417975</v>
      </c>
      <c r="AJ14" s="12">
        <f t="shared" si="2"/>
        <v>11730083</v>
      </c>
      <c r="AK14" s="12">
        <f t="shared" si="2"/>
        <v>831474.36</v>
      </c>
      <c r="AL14" s="12">
        <f t="shared" si="2"/>
        <v>4148</v>
      </c>
      <c r="AM14" s="12">
        <f t="shared" si="2"/>
        <v>2875.91</v>
      </c>
      <c r="AN14" s="12">
        <f t="shared" si="2"/>
        <v>3912411</v>
      </c>
      <c r="AO14" s="12">
        <f t="shared" si="2"/>
        <v>279156</v>
      </c>
      <c r="AP14" s="12">
        <f t="shared" si="2"/>
        <v>314925</v>
      </c>
      <c r="AQ14" s="12">
        <f t="shared" si="2"/>
        <v>50332</v>
      </c>
      <c r="AR14" s="12">
        <f t="shared" si="2"/>
        <v>1626663</v>
      </c>
      <c r="AS14" s="12">
        <f t="shared" si="2"/>
        <v>169412</v>
      </c>
      <c r="AT14" s="12">
        <f t="shared" si="2"/>
        <v>0</v>
      </c>
      <c r="AU14" s="12">
        <f t="shared" si="2"/>
        <v>0</v>
      </c>
      <c r="AV14" s="12">
        <f t="shared" si="2"/>
        <v>1797668</v>
      </c>
      <c r="AW14" s="12">
        <f t="shared" si="2"/>
        <v>171226.74</v>
      </c>
      <c r="AX14" s="12">
        <f t="shared" si="2"/>
        <v>2314554</v>
      </c>
      <c r="AY14" s="12">
        <f t="shared" si="2"/>
        <v>200734</v>
      </c>
      <c r="AZ14" s="12">
        <f t="shared" si="2"/>
        <v>3317952</v>
      </c>
      <c r="BA14" s="12">
        <f t="shared" si="2"/>
        <v>295855</v>
      </c>
      <c r="BB14" s="12">
        <f t="shared" si="2"/>
        <v>17512685</v>
      </c>
      <c r="BC14" s="12">
        <f t="shared" ref="BC14:BE14" si="3">BC12+BC13</f>
        <v>1225038</v>
      </c>
      <c r="BD14" s="12">
        <f t="shared" si="3"/>
        <v>1016455</v>
      </c>
      <c r="BE14" s="12">
        <f t="shared" si="3"/>
        <v>90379</v>
      </c>
    </row>
  </sheetData>
  <mergeCells count="28">
    <mergeCell ref="AD3:AE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D3:BE3"/>
    <mergeCell ref="BB3:BC3"/>
    <mergeCell ref="AZ3:BA3"/>
    <mergeCell ref="AX3:AY3"/>
    <mergeCell ref="AJ3:AK3"/>
    <mergeCell ref="AF3:AG3"/>
    <mergeCell ref="AH3:AI3"/>
    <mergeCell ref="AV3:AW3"/>
    <mergeCell ref="AL3:AM3"/>
    <mergeCell ref="AN3:AO3"/>
    <mergeCell ref="AP3:AQ3"/>
    <mergeCell ref="AR3:AS3"/>
    <mergeCell ref="AT3:AU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3.140625" style="8" customWidth="1"/>
    <col min="2" max="30" width="16" style="8" customWidth="1"/>
    <col min="31" max="16384" width="9.140625" style="8"/>
  </cols>
  <sheetData>
    <row r="1" spans="1:30" ht="18.75" x14ac:dyDescent="0.3">
      <c r="A1" s="15" t="s">
        <v>289</v>
      </c>
    </row>
    <row r="2" spans="1:30" x14ac:dyDescent="0.25">
      <c r="A2" s="7" t="s">
        <v>43</v>
      </c>
    </row>
    <row r="3" spans="1:30" x14ac:dyDescent="0.25">
      <c r="A3" s="4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8</v>
      </c>
      <c r="J3" s="68" t="s">
        <v>10</v>
      </c>
      <c r="K3" s="68" t="s">
        <v>11</v>
      </c>
      <c r="L3" s="68" t="s">
        <v>12</v>
      </c>
      <c r="M3" s="69" t="s">
        <v>13</v>
      </c>
      <c r="N3" s="68" t="s">
        <v>14</v>
      </c>
      <c r="O3" s="68" t="s">
        <v>15</v>
      </c>
      <c r="P3" s="68" t="s">
        <v>16</v>
      </c>
      <c r="Q3" s="68" t="s">
        <v>17</v>
      </c>
      <c r="R3" s="68" t="s">
        <v>18</v>
      </c>
      <c r="S3" s="68" t="s">
        <v>19</v>
      </c>
      <c r="T3" s="68" t="s">
        <v>20</v>
      </c>
      <c r="U3" s="68" t="s">
        <v>21</v>
      </c>
      <c r="V3" s="68" t="s">
        <v>22</v>
      </c>
      <c r="W3" s="68" t="s">
        <v>23</v>
      </c>
      <c r="X3" s="68" t="s">
        <v>24</v>
      </c>
      <c r="Y3" s="68" t="s">
        <v>25</v>
      </c>
      <c r="Z3" s="68" t="s">
        <v>26</v>
      </c>
      <c r="AA3" s="68" t="s">
        <v>27</v>
      </c>
      <c r="AB3" s="67" t="s">
        <v>28</v>
      </c>
      <c r="AC3" s="68" t="s">
        <v>29</v>
      </c>
      <c r="AD3" s="37" t="s">
        <v>30</v>
      </c>
    </row>
    <row r="4" spans="1:30" x14ac:dyDescent="0.25">
      <c r="A4" s="4" t="s">
        <v>259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25">
      <c r="A5" s="3" t="s">
        <v>260</v>
      </c>
      <c r="B5" s="11"/>
      <c r="C5" s="11"/>
      <c r="D5" s="11">
        <v>875738</v>
      </c>
      <c r="E5" s="11">
        <v>-163780</v>
      </c>
      <c r="F5" s="11">
        <v>198476</v>
      </c>
      <c r="G5" s="11"/>
      <c r="H5" s="11"/>
      <c r="I5" s="11">
        <v>116493</v>
      </c>
      <c r="J5" s="11">
        <v>-63914</v>
      </c>
      <c r="K5" s="11">
        <v>976555</v>
      </c>
      <c r="L5" s="11">
        <v>420338</v>
      </c>
      <c r="M5" s="11"/>
      <c r="N5" s="11">
        <v>-73292</v>
      </c>
      <c r="O5" s="11">
        <v>-27632</v>
      </c>
      <c r="P5" s="11"/>
      <c r="Q5" s="11">
        <v>718178.57080027275</v>
      </c>
      <c r="R5" s="11">
        <v>96891</v>
      </c>
      <c r="S5" s="11">
        <v>-1365401</v>
      </c>
      <c r="T5" s="11">
        <v>1603</v>
      </c>
      <c r="U5" s="11">
        <v>236100</v>
      </c>
      <c r="V5" s="11"/>
      <c r="W5" s="11">
        <v>146966</v>
      </c>
      <c r="X5" s="11">
        <v>-361359</v>
      </c>
      <c r="Y5" s="11">
        <v>75546</v>
      </c>
      <c r="Z5" s="11"/>
      <c r="AA5" s="11">
        <v>188372</v>
      </c>
      <c r="AB5" s="11">
        <v>27292</v>
      </c>
      <c r="AC5" s="11"/>
      <c r="AD5" s="11">
        <f>SUM(B5:AC5)</f>
        <v>2023170.5708002727</v>
      </c>
    </row>
    <row r="6" spans="1:30" x14ac:dyDescent="0.25">
      <c r="A6" s="3" t="s">
        <v>261</v>
      </c>
      <c r="B6" s="11"/>
      <c r="C6" s="11"/>
      <c r="D6" s="11">
        <v>303436</v>
      </c>
      <c r="E6" s="11">
        <v>-57265</v>
      </c>
      <c r="F6" s="11">
        <v>102022</v>
      </c>
      <c r="G6" s="11"/>
      <c r="H6" s="11"/>
      <c r="I6" s="11">
        <v>-77948</v>
      </c>
      <c r="J6" s="11">
        <v>-40772</v>
      </c>
      <c r="K6" s="11">
        <v>-529974</v>
      </c>
      <c r="L6" s="11">
        <v>47907</v>
      </c>
      <c r="M6" s="11"/>
      <c r="N6" s="11">
        <v>-20141</v>
      </c>
      <c r="O6" s="11">
        <v>-21379</v>
      </c>
      <c r="P6" s="11"/>
      <c r="Q6" s="11">
        <v>1262190.8959918786</v>
      </c>
      <c r="R6" s="11">
        <v>1477076</v>
      </c>
      <c r="S6" s="11">
        <v>3222</v>
      </c>
      <c r="T6" s="11">
        <v>15</v>
      </c>
      <c r="U6" s="11">
        <v>-159087</v>
      </c>
      <c r="V6" s="11"/>
      <c r="W6" s="11">
        <v>9585</v>
      </c>
      <c r="X6" s="11">
        <v>-59065</v>
      </c>
      <c r="Y6" s="11">
        <v>2763</v>
      </c>
      <c r="Z6" s="11"/>
      <c r="AA6" s="11">
        <v>-76442</v>
      </c>
      <c r="AB6" s="11">
        <v>470515</v>
      </c>
      <c r="AC6" s="11"/>
      <c r="AD6" s="11">
        <f>SUM(B6:AC6)</f>
        <v>2636658.8959918786</v>
      </c>
    </row>
    <row r="7" spans="1:30" x14ac:dyDescent="0.25">
      <c r="A7" s="3" t="s">
        <v>262</v>
      </c>
      <c r="B7" s="11">
        <v>3001620</v>
      </c>
      <c r="C7" s="11">
        <v>-172717</v>
      </c>
      <c r="D7" s="11">
        <v>4517521</v>
      </c>
      <c r="E7" s="11">
        <v>-1798645</v>
      </c>
      <c r="F7" s="11">
        <v>1451083</v>
      </c>
      <c r="G7" s="11">
        <v>-1742147</v>
      </c>
      <c r="H7" s="11">
        <v>1067255.08</v>
      </c>
      <c r="I7" s="11">
        <v>-657305</v>
      </c>
      <c r="J7" s="11">
        <v>-1030402</v>
      </c>
      <c r="K7" s="11">
        <v>4355608</v>
      </c>
      <c r="L7" s="11">
        <v>1237546</v>
      </c>
      <c r="M7" s="11">
        <v>-160545</v>
      </c>
      <c r="N7" s="11">
        <v>-1796736</v>
      </c>
      <c r="O7" s="11">
        <v>-196995</v>
      </c>
      <c r="P7" s="11">
        <v>-814687</v>
      </c>
      <c r="Q7" s="11">
        <v>-9146823.3132860065</v>
      </c>
      <c r="R7" s="11">
        <v>-5924733</v>
      </c>
      <c r="S7" s="11">
        <v>-3756591</v>
      </c>
      <c r="T7" s="11">
        <v>-23321</v>
      </c>
      <c r="U7" s="11">
        <v>-75189</v>
      </c>
      <c r="V7" s="11">
        <v>-847526.1</v>
      </c>
      <c r="W7" s="11">
        <v>-255546</v>
      </c>
      <c r="X7" s="11">
        <v>-1449484</v>
      </c>
      <c r="Y7" s="11">
        <v>2593611</v>
      </c>
      <c r="Z7" s="11">
        <v>2485280</v>
      </c>
      <c r="AA7" s="11">
        <v>-694783</v>
      </c>
      <c r="AB7" s="11">
        <v>-5149948</v>
      </c>
      <c r="AC7" s="11"/>
      <c r="AD7" s="11">
        <f>SUM(B7:AC7)</f>
        <v>-14984599.333286006</v>
      </c>
    </row>
    <row r="8" spans="1:30" x14ac:dyDescent="0.25">
      <c r="A8" s="4" t="s">
        <v>263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x14ac:dyDescent="0.25">
      <c r="A9" s="3" t="s">
        <v>264</v>
      </c>
      <c r="B9" s="11">
        <v>1705068</v>
      </c>
      <c r="C9" s="11">
        <v>239350</v>
      </c>
      <c r="D9" s="11">
        <v>1861711</v>
      </c>
      <c r="E9" s="11">
        <v>4408</v>
      </c>
      <c r="F9" s="11">
        <v>370329</v>
      </c>
      <c r="G9" s="11">
        <v>78706</v>
      </c>
      <c r="H9" s="11">
        <v>2439743.0099999998</v>
      </c>
      <c r="I9" s="11">
        <v>479124</v>
      </c>
      <c r="J9" s="11">
        <v>121021</v>
      </c>
      <c r="K9" s="11">
        <v>1602584</v>
      </c>
      <c r="L9" s="11">
        <v>660838</v>
      </c>
      <c r="M9" s="11">
        <v>29787</v>
      </c>
      <c r="N9" s="11">
        <v>218608</v>
      </c>
      <c r="O9" s="11">
        <v>166803</v>
      </c>
      <c r="P9" s="11">
        <v>158455</v>
      </c>
      <c r="Q9" s="11">
        <v>3103583</v>
      </c>
      <c r="R9" s="11">
        <v>8268094</v>
      </c>
      <c r="S9" s="11">
        <v>2753457</v>
      </c>
      <c r="T9" s="11">
        <v>174375</v>
      </c>
      <c r="U9" s="11">
        <v>866954</v>
      </c>
      <c r="V9" s="11">
        <v>86567.7</v>
      </c>
      <c r="W9" s="11">
        <v>435023</v>
      </c>
      <c r="X9" s="11">
        <v>619101</v>
      </c>
      <c r="Y9" s="11">
        <v>548495</v>
      </c>
      <c r="Z9" s="11">
        <v>161350</v>
      </c>
      <c r="AA9" s="11">
        <v>727682</v>
      </c>
      <c r="AB9" s="11">
        <v>4535494</v>
      </c>
      <c r="AC9" s="11"/>
      <c r="AD9" s="11">
        <f t="shared" ref="AD9:AD15" si="0">SUM(B9:AC9)</f>
        <v>32416710.709999997</v>
      </c>
    </row>
    <row r="10" spans="1:30" x14ac:dyDescent="0.25">
      <c r="A10" s="3" t="s">
        <v>265</v>
      </c>
      <c r="B10" s="11">
        <v>6140</v>
      </c>
      <c r="C10" s="11">
        <v>28627</v>
      </c>
      <c r="D10" s="11">
        <v>308168</v>
      </c>
      <c r="E10" s="11">
        <v>1235</v>
      </c>
      <c r="F10" s="11">
        <v>52141</v>
      </c>
      <c r="G10" s="11">
        <v>8182</v>
      </c>
      <c r="H10" s="11">
        <v>7307</v>
      </c>
      <c r="I10" s="11">
        <v>104201</v>
      </c>
      <c r="J10" s="11">
        <v>12968</v>
      </c>
      <c r="K10" s="11">
        <v>694553</v>
      </c>
      <c r="L10" s="11">
        <v>34077</v>
      </c>
      <c r="M10" s="11">
        <v>30961</v>
      </c>
      <c r="N10" s="11">
        <v>3077</v>
      </c>
      <c r="O10" s="11">
        <v>14935</v>
      </c>
      <c r="P10" s="11">
        <v>17110</v>
      </c>
      <c r="Q10" s="11">
        <v>5235399</v>
      </c>
      <c r="R10" s="11">
        <v>4617913</v>
      </c>
      <c r="S10" s="11">
        <v>1485380</v>
      </c>
      <c r="T10" s="11">
        <v>6857</v>
      </c>
      <c r="U10" s="11">
        <v>180924</v>
      </c>
      <c r="V10" s="11">
        <v>5338.7</v>
      </c>
      <c r="W10" s="11">
        <v>56007</v>
      </c>
      <c r="X10" s="11">
        <v>51176</v>
      </c>
      <c r="Y10" s="11"/>
      <c r="Z10" s="11">
        <v>19776</v>
      </c>
      <c r="AA10" s="11">
        <v>217796</v>
      </c>
      <c r="AB10" s="11">
        <v>2822800</v>
      </c>
      <c r="AC10" s="11"/>
      <c r="AD10" s="11">
        <f t="shared" si="0"/>
        <v>16023048.699999999</v>
      </c>
    </row>
    <row r="11" spans="1:30" x14ac:dyDescent="0.25">
      <c r="A11" s="3" t="s">
        <v>266</v>
      </c>
      <c r="B11" s="11"/>
      <c r="C11" s="11"/>
      <c r="D11" s="11">
        <v>-19995</v>
      </c>
      <c r="E11" s="11"/>
      <c r="F11" s="11">
        <v>-37</v>
      </c>
      <c r="G11" s="11"/>
      <c r="H11" s="11"/>
      <c r="I11" s="11">
        <v>-4836</v>
      </c>
      <c r="J11" s="11"/>
      <c r="K11" s="11">
        <v>-22578</v>
      </c>
      <c r="L11" s="11"/>
      <c r="M11" s="11">
        <v>-23</v>
      </c>
      <c r="N11" s="11"/>
      <c r="O11" s="11"/>
      <c r="P11" s="11"/>
      <c r="Q11" s="11">
        <v>21</v>
      </c>
      <c r="R11" s="11"/>
      <c r="S11" s="11"/>
      <c r="T11" s="11">
        <v>512</v>
      </c>
      <c r="U11" s="11">
        <v>-897</v>
      </c>
      <c r="V11" s="11"/>
      <c r="W11" s="11">
        <v>-22915</v>
      </c>
      <c r="X11" s="11"/>
      <c r="Y11" s="11"/>
      <c r="Z11" s="11"/>
      <c r="AA11" s="11">
        <v>-24265</v>
      </c>
      <c r="AB11" s="11"/>
      <c r="AC11" s="11"/>
      <c r="AD11" s="11">
        <f t="shared" si="0"/>
        <v>-95013</v>
      </c>
    </row>
    <row r="12" spans="1:30" ht="15" customHeight="1" x14ac:dyDescent="0.25">
      <c r="A12" s="3" t="s">
        <v>267</v>
      </c>
      <c r="B12" s="11"/>
      <c r="C12" s="11"/>
      <c r="D12" s="11"/>
      <c r="E12" s="11"/>
      <c r="F12" s="11"/>
      <c r="G12" s="11"/>
      <c r="H12" s="11"/>
      <c r="I12" s="11">
        <v>12179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v>-17301</v>
      </c>
      <c r="AB12" s="11"/>
      <c r="AC12" s="11"/>
      <c r="AD12" s="11">
        <f t="shared" si="0"/>
        <v>-5122</v>
      </c>
    </row>
    <row r="13" spans="1:30" x14ac:dyDescent="0.25">
      <c r="A13" s="11" t="s">
        <v>268</v>
      </c>
      <c r="B13" s="11">
        <v>22709</v>
      </c>
      <c r="C13" s="11">
        <v>2022</v>
      </c>
      <c r="D13" s="11">
        <v>16498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>
        <f t="shared" si="0"/>
        <v>41229</v>
      </c>
    </row>
    <row r="14" spans="1:30" x14ac:dyDescent="0.25">
      <c r="A14" s="4" t="s">
        <v>269</v>
      </c>
      <c r="B14" s="11">
        <f>B15-B13-B12-B11-B10-B9-B7-B6-B5</f>
        <v>14280</v>
      </c>
      <c r="C14" s="11">
        <f t="shared" ref="C14:AC14" si="1">C15-C13-C12-C11-C10-C9-C7-C6-C5</f>
        <v>10096</v>
      </c>
      <c r="D14" s="11">
        <f t="shared" si="1"/>
        <v>10887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385270.18000000017</v>
      </c>
      <c r="I14" s="11">
        <f t="shared" si="1"/>
        <v>0</v>
      </c>
      <c r="J14" s="11">
        <f t="shared" si="1"/>
        <v>350</v>
      </c>
      <c r="K14" s="11">
        <f t="shared" si="1"/>
        <v>144146</v>
      </c>
      <c r="L14" s="11">
        <f t="shared" si="1"/>
        <v>36006</v>
      </c>
      <c r="M14" s="11">
        <f t="shared" si="1"/>
        <v>2529</v>
      </c>
      <c r="N14" s="11">
        <f t="shared" si="1"/>
        <v>0</v>
      </c>
      <c r="O14" s="11">
        <f t="shared" si="1"/>
        <v>0</v>
      </c>
      <c r="P14" s="11">
        <f t="shared" si="1"/>
        <v>1725</v>
      </c>
      <c r="Q14" s="11">
        <f t="shared" si="1"/>
        <v>248647</v>
      </c>
      <c r="R14" s="11">
        <f t="shared" si="1"/>
        <v>525497</v>
      </c>
      <c r="S14" s="11">
        <f t="shared" si="1"/>
        <v>3200844</v>
      </c>
      <c r="T14" s="11">
        <f t="shared" si="1"/>
        <v>1</v>
      </c>
      <c r="U14" s="11">
        <f t="shared" si="1"/>
        <v>6632</v>
      </c>
      <c r="V14" s="11">
        <f t="shared" si="1"/>
        <v>1.1641532182693481E-10</v>
      </c>
      <c r="W14" s="11">
        <f t="shared" si="1"/>
        <v>3136</v>
      </c>
      <c r="X14" s="11">
        <f t="shared" si="1"/>
        <v>1188</v>
      </c>
      <c r="Y14" s="11">
        <f t="shared" si="1"/>
        <v>0</v>
      </c>
      <c r="Z14" s="11">
        <f t="shared" si="1"/>
        <v>0</v>
      </c>
      <c r="AA14" s="11">
        <f t="shared" si="1"/>
        <v>57818</v>
      </c>
      <c r="AB14" s="11">
        <f t="shared" si="1"/>
        <v>429111</v>
      </c>
      <c r="AC14" s="11">
        <f t="shared" si="1"/>
        <v>0</v>
      </c>
      <c r="AD14" s="11">
        <f t="shared" si="0"/>
        <v>5078163.18</v>
      </c>
    </row>
    <row r="15" spans="1:30" s="9" customFormat="1" x14ac:dyDescent="0.25">
      <c r="A15" s="4" t="s">
        <v>35</v>
      </c>
      <c r="B15" s="12">
        <v>4749817</v>
      </c>
      <c r="C15" s="12">
        <v>107378</v>
      </c>
      <c r="D15" s="12">
        <v>7873964</v>
      </c>
      <c r="E15" s="12">
        <v>-2014047</v>
      </c>
      <c r="F15" s="12">
        <v>2174014</v>
      </c>
      <c r="G15" s="12">
        <v>-1655259</v>
      </c>
      <c r="H15" s="12">
        <v>3899575.27</v>
      </c>
      <c r="I15" s="12">
        <v>-28092</v>
      </c>
      <c r="J15" s="12">
        <v>-1000749</v>
      </c>
      <c r="K15" s="12">
        <v>7220894</v>
      </c>
      <c r="L15" s="12">
        <v>2436712</v>
      </c>
      <c r="M15" s="12">
        <v>-97291</v>
      </c>
      <c r="N15" s="12">
        <v>-1668484</v>
      </c>
      <c r="O15" s="12">
        <v>-64268</v>
      </c>
      <c r="P15" s="12">
        <v>-637397</v>
      </c>
      <c r="Q15" s="12">
        <v>1421196.1535061449</v>
      </c>
      <c r="R15" s="12">
        <v>9060738</v>
      </c>
      <c r="S15" s="12">
        <v>2320911</v>
      </c>
      <c r="T15" s="12">
        <v>160042</v>
      </c>
      <c r="U15" s="12">
        <v>1055437</v>
      </c>
      <c r="V15" s="12">
        <v>-755619.7</v>
      </c>
      <c r="W15" s="12">
        <v>372256</v>
      </c>
      <c r="X15" s="12">
        <v>-1198443</v>
      </c>
      <c r="Y15" s="12">
        <v>3220415</v>
      </c>
      <c r="Z15" s="12">
        <v>2666406</v>
      </c>
      <c r="AA15" s="12">
        <v>378877</v>
      </c>
      <c r="AB15" s="12">
        <v>3135264</v>
      </c>
      <c r="AC15" s="12"/>
      <c r="AD15" s="12">
        <f t="shared" si="0"/>
        <v>43134246.723506138</v>
      </c>
    </row>
    <row r="16" spans="1:30" x14ac:dyDescent="0.25">
      <c r="A16" s="4" t="s">
        <v>270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x14ac:dyDescent="0.25">
      <c r="A17" s="3" t="s">
        <v>271</v>
      </c>
      <c r="B17" s="11"/>
      <c r="C17" s="11"/>
      <c r="D17" s="11"/>
      <c r="E17" s="11"/>
      <c r="F17" s="11"/>
      <c r="G17" s="11"/>
      <c r="H17" s="11">
        <v>232.04</v>
      </c>
      <c r="I17" s="11"/>
      <c r="J17" s="11"/>
      <c r="K17" s="11"/>
      <c r="L17" s="11"/>
      <c r="M17" s="11"/>
      <c r="N17" s="11"/>
      <c r="O17" s="11"/>
      <c r="P17" s="11"/>
      <c r="Q17" s="11">
        <v>23311</v>
      </c>
      <c r="R17" s="11">
        <v>31978</v>
      </c>
      <c r="S17" s="11">
        <v>2747</v>
      </c>
      <c r="T17" s="11"/>
      <c r="U17" s="11"/>
      <c r="V17" s="11"/>
      <c r="W17" s="11"/>
      <c r="X17" s="11"/>
      <c r="Y17" s="11"/>
      <c r="Z17" s="11"/>
      <c r="AA17" s="11"/>
      <c r="AB17" s="11">
        <v>307045</v>
      </c>
      <c r="AC17" s="11"/>
      <c r="AD17" s="11">
        <f t="shared" ref="AD17:AD24" si="2">SUM(B17:AC17)</f>
        <v>365313.04</v>
      </c>
    </row>
    <row r="18" spans="1:30" x14ac:dyDescent="0.25">
      <c r="A18" s="3" t="s">
        <v>272</v>
      </c>
      <c r="B18" s="11"/>
      <c r="C18" s="11"/>
      <c r="D18" s="11">
        <v>3195</v>
      </c>
      <c r="E18" s="11"/>
      <c r="F18" s="11"/>
      <c r="G18" s="11"/>
      <c r="H18" s="11"/>
      <c r="I18" s="11">
        <v>776</v>
      </c>
      <c r="J18" s="11">
        <v>8063</v>
      </c>
      <c r="K18" s="11">
        <v>-6796</v>
      </c>
      <c r="L18" s="11"/>
      <c r="M18" s="11"/>
      <c r="N18" s="11"/>
      <c r="O18" s="11"/>
      <c r="P18" s="11">
        <v>33991</v>
      </c>
      <c r="Q18" s="11">
        <v>-140631</v>
      </c>
      <c r="R18" s="11">
        <v>-16140</v>
      </c>
      <c r="S18" s="11">
        <v>18846</v>
      </c>
      <c r="T18" s="11"/>
      <c r="U18" s="11">
        <v>19114</v>
      </c>
      <c r="V18" s="11"/>
      <c r="W18" s="11"/>
      <c r="X18" s="11"/>
      <c r="Y18" s="11"/>
      <c r="Z18" s="11"/>
      <c r="AA18" s="11">
        <v>10297</v>
      </c>
      <c r="AB18" s="11">
        <v>125136</v>
      </c>
      <c r="AC18" s="11"/>
      <c r="AD18" s="11">
        <f t="shared" si="2"/>
        <v>55851</v>
      </c>
    </row>
    <row r="19" spans="1:30" x14ac:dyDescent="0.25">
      <c r="A19" s="3" t="s">
        <v>58</v>
      </c>
      <c r="B19" s="11"/>
      <c r="C19" s="11"/>
      <c r="D19" s="11"/>
      <c r="E19" s="11"/>
      <c r="F19" s="11"/>
      <c r="G19" s="11"/>
      <c r="H19" s="11">
        <v>2050</v>
      </c>
      <c r="I19" s="11"/>
      <c r="J19" s="11"/>
      <c r="K19" s="11">
        <v>-35436</v>
      </c>
      <c r="L19" s="11"/>
      <c r="M19" s="11"/>
      <c r="N19" s="11"/>
      <c r="O19" s="11"/>
      <c r="P19" s="11">
        <f>-107+2000</f>
        <v>1893</v>
      </c>
      <c r="Q19" s="11"/>
      <c r="R19" s="11">
        <v>-5972</v>
      </c>
      <c r="S19" s="11">
        <v>28372</v>
      </c>
      <c r="T19" s="11"/>
      <c r="U19" s="11">
        <v>4125</v>
      </c>
      <c r="V19" s="11"/>
      <c r="W19" s="11"/>
      <c r="X19" s="11"/>
      <c r="Y19" s="11"/>
      <c r="Z19" s="11"/>
      <c r="AA19" s="11"/>
      <c r="AB19" s="11">
        <v>6000</v>
      </c>
      <c r="AC19" s="11"/>
      <c r="AD19" s="11">
        <f t="shared" si="2"/>
        <v>1032</v>
      </c>
    </row>
    <row r="20" spans="1:30" x14ac:dyDescent="0.25">
      <c r="A20" s="4" t="s">
        <v>273</v>
      </c>
      <c r="B20" s="11">
        <f>B21-B19-B18-B17</f>
        <v>113500</v>
      </c>
      <c r="C20" s="11">
        <f t="shared" ref="C20:AC20" si="3">C21-C19-C18-C17</f>
        <v>32780</v>
      </c>
      <c r="D20" s="11">
        <f t="shared" si="3"/>
        <v>156088</v>
      </c>
      <c r="E20" s="11">
        <f t="shared" si="3"/>
        <v>28331</v>
      </c>
      <c r="F20" s="11">
        <f t="shared" si="3"/>
        <v>43047</v>
      </c>
      <c r="G20" s="11">
        <f t="shared" si="3"/>
        <v>80959</v>
      </c>
      <c r="H20" s="11">
        <f t="shared" si="3"/>
        <v>23695.279999999999</v>
      </c>
      <c r="I20" s="11">
        <f t="shared" si="3"/>
        <v>23681</v>
      </c>
      <c r="J20" s="11">
        <f t="shared" si="3"/>
        <v>11345</v>
      </c>
      <c r="K20" s="11">
        <f t="shared" si="3"/>
        <v>186198</v>
      </c>
      <c r="L20" s="11">
        <f t="shared" si="3"/>
        <v>37367</v>
      </c>
      <c r="M20" s="11">
        <f t="shared" si="3"/>
        <v>0</v>
      </c>
      <c r="N20" s="11">
        <f t="shared" si="3"/>
        <v>43513</v>
      </c>
      <c r="O20" s="11">
        <f t="shared" si="3"/>
        <v>1546</v>
      </c>
      <c r="P20" s="11">
        <f t="shared" si="3"/>
        <v>11698</v>
      </c>
      <c r="Q20" s="11">
        <f t="shared" si="3"/>
        <v>33524</v>
      </c>
      <c r="R20" s="11">
        <f t="shared" si="3"/>
        <v>-4710</v>
      </c>
      <c r="S20" s="11">
        <f t="shared" si="3"/>
        <v>371849</v>
      </c>
      <c r="T20" s="11">
        <f t="shared" si="3"/>
        <v>14838</v>
      </c>
      <c r="U20" s="11">
        <f t="shared" si="3"/>
        <v>41378</v>
      </c>
      <c r="V20" s="11">
        <f t="shared" si="3"/>
        <v>32770.300000000003</v>
      </c>
      <c r="W20" s="11">
        <f t="shared" si="3"/>
        <v>11091</v>
      </c>
      <c r="X20" s="11">
        <f t="shared" si="3"/>
        <v>2541</v>
      </c>
      <c r="Y20" s="11">
        <f t="shared" si="3"/>
        <v>5248</v>
      </c>
      <c r="Z20" s="11">
        <f t="shared" si="3"/>
        <v>1300647</v>
      </c>
      <c r="AA20" s="11">
        <f t="shared" si="3"/>
        <v>84312</v>
      </c>
      <c r="AB20" s="11">
        <f t="shared" si="3"/>
        <v>138262</v>
      </c>
      <c r="AC20" s="11">
        <f t="shared" si="3"/>
        <v>0</v>
      </c>
      <c r="AD20" s="11">
        <f t="shared" si="2"/>
        <v>2825498.58</v>
      </c>
    </row>
    <row r="21" spans="1:30" s="9" customFormat="1" x14ac:dyDescent="0.25">
      <c r="A21" s="4" t="s">
        <v>39</v>
      </c>
      <c r="B21" s="12">
        <v>113500</v>
      </c>
      <c r="C21" s="12">
        <v>32780</v>
      </c>
      <c r="D21" s="12">
        <v>159283</v>
      </c>
      <c r="E21" s="12">
        <v>28331</v>
      </c>
      <c r="F21" s="12">
        <v>43047</v>
      </c>
      <c r="G21" s="12">
        <v>80959</v>
      </c>
      <c r="H21" s="12">
        <v>25977.32</v>
      </c>
      <c r="I21" s="12">
        <v>24457</v>
      </c>
      <c r="J21" s="12">
        <v>19408</v>
      </c>
      <c r="K21" s="12">
        <v>143966</v>
      </c>
      <c r="L21" s="12">
        <v>37367</v>
      </c>
      <c r="M21" s="12"/>
      <c r="N21" s="12">
        <v>43513</v>
      </c>
      <c r="O21" s="12">
        <v>1546</v>
      </c>
      <c r="P21" s="12">
        <v>47582</v>
      </c>
      <c r="Q21" s="12">
        <v>-83796</v>
      </c>
      <c r="R21" s="12">
        <v>5156</v>
      </c>
      <c r="S21" s="12">
        <v>421814</v>
      </c>
      <c r="T21" s="12">
        <v>14838</v>
      </c>
      <c r="U21" s="12">
        <v>64617</v>
      </c>
      <c r="V21" s="12">
        <v>32770.300000000003</v>
      </c>
      <c r="W21" s="12">
        <v>11091</v>
      </c>
      <c r="X21" s="12">
        <v>2541</v>
      </c>
      <c r="Y21" s="12">
        <v>5248</v>
      </c>
      <c r="Z21" s="12">
        <v>1300647</v>
      </c>
      <c r="AA21" s="12">
        <v>94609</v>
      </c>
      <c r="AB21" s="12">
        <v>576443</v>
      </c>
      <c r="AC21" s="12"/>
      <c r="AD21" s="12">
        <f t="shared" si="2"/>
        <v>3247694.62</v>
      </c>
    </row>
    <row r="22" spans="1:30" s="9" customFormat="1" x14ac:dyDescent="0.25">
      <c r="A22" s="4" t="s">
        <v>274</v>
      </c>
      <c r="B22" s="12">
        <f>B15-B21</f>
        <v>4636317</v>
      </c>
      <c r="C22" s="12">
        <f t="shared" ref="C22:AC22" si="4">C15-C21</f>
        <v>74598</v>
      </c>
      <c r="D22" s="12">
        <f t="shared" si="4"/>
        <v>7714681</v>
      </c>
      <c r="E22" s="12">
        <f t="shared" si="4"/>
        <v>-2042378</v>
      </c>
      <c r="F22" s="12">
        <f t="shared" si="4"/>
        <v>2130967</v>
      </c>
      <c r="G22" s="12">
        <f t="shared" si="4"/>
        <v>-1736218</v>
      </c>
      <c r="H22" s="12">
        <f t="shared" si="4"/>
        <v>3873597.95</v>
      </c>
      <c r="I22" s="12">
        <f t="shared" si="4"/>
        <v>-52549</v>
      </c>
      <c r="J22" s="12">
        <f t="shared" si="4"/>
        <v>-1020157</v>
      </c>
      <c r="K22" s="12">
        <f t="shared" si="4"/>
        <v>7076928</v>
      </c>
      <c r="L22" s="12">
        <f t="shared" si="4"/>
        <v>2399345</v>
      </c>
      <c r="M22" s="12">
        <f t="shared" si="4"/>
        <v>-97291</v>
      </c>
      <c r="N22" s="12">
        <f t="shared" si="4"/>
        <v>-1711997</v>
      </c>
      <c r="O22" s="12">
        <f t="shared" si="4"/>
        <v>-65814</v>
      </c>
      <c r="P22" s="12">
        <f t="shared" si="4"/>
        <v>-684979</v>
      </c>
      <c r="Q22" s="12">
        <f t="shared" si="4"/>
        <v>1504992.1535061449</v>
      </c>
      <c r="R22" s="12">
        <f t="shared" si="4"/>
        <v>9055582</v>
      </c>
      <c r="S22" s="12">
        <f t="shared" si="4"/>
        <v>1899097</v>
      </c>
      <c r="T22" s="12">
        <f t="shared" si="4"/>
        <v>145204</v>
      </c>
      <c r="U22" s="12">
        <f t="shared" si="4"/>
        <v>990820</v>
      </c>
      <c r="V22" s="12">
        <f t="shared" si="4"/>
        <v>-788390</v>
      </c>
      <c r="W22" s="12">
        <f t="shared" si="4"/>
        <v>361165</v>
      </c>
      <c r="X22" s="12">
        <f t="shared" si="4"/>
        <v>-1200984</v>
      </c>
      <c r="Y22" s="12">
        <f t="shared" si="4"/>
        <v>3215167</v>
      </c>
      <c r="Z22" s="12">
        <f t="shared" si="4"/>
        <v>1365759</v>
      </c>
      <c r="AA22" s="12">
        <f t="shared" si="4"/>
        <v>284268</v>
      </c>
      <c r="AB22" s="12">
        <f t="shared" si="4"/>
        <v>2558821</v>
      </c>
      <c r="AC22" s="12">
        <f t="shared" si="4"/>
        <v>0</v>
      </c>
      <c r="AD22" s="12">
        <f t="shared" si="2"/>
        <v>39886552.103506148</v>
      </c>
    </row>
    <row r="23" spans="1:30" x14ac:dyDescent="0.25">
      <c r="A23" s="3" t="s">
        <v>276</v>
      </c>
      <c r="B23" s="11">
        <f>1582200-15251</f>
        <v>1566949</v>
      </c>
      <c r="C23" s="11"/>
      <c r="D23" s="11">
        <v>2072433</v>
      </c>
      <c r="E23" s="11">
        <v>1200</v>
      </c>
      <c r="F23" s="11">
        <v>651498</v>
      </c>
      <c r="G23" s="11"/>
      <c r="H23" s="11">
        <f>-409757.68+1600000+37.61-78948.68</f>
        <v>1111331.2500000002</v>
      </c>
      <c r="I23" s="11"/>
      <c r="J23" s="11"/>
      <c r="K23" s="11">
        <f>2264383-261922</f>
        <v>2002461</v>
      </c>
      <c r="L23" s="11"/>
      <c r="M23" s="11"/>
      <c r="N23" s="11"/>
      <c r="O23" s="11">
        <v>52707</v>
      </c>
      <c r="P23" s="11"/>
      <c r="Q23" s="11">
        <v>12702</v>
      </c>
      <c r="R23" s="11">
        <f>1261252-492591</f>
        <v>768661</v>
      </c>
      <c r="S23" s="11">
        <f>-1112330+6519</f>
        <v>-1105811</v>
      </c>
      <c r="T23" s="11">
        <v>41300</v>
      </c>
      <c r="U23" s="11"/>
      <c r="V23" s="11"/>
      <c r="W23" s="11">
        <v>94519</v>
      </c>
      <c r="X23" s="11"/>
      <c r="Y23" s="11">
        <v>1016230</v>
      </c>
      <c r="Z23" s="11"/>
      <c r="AA23" s="11">
        <v>84477</v>
      </c>
      <c r="AB23" s="11">
        <f>2095+350800</f>
        <v>352895</v>
      </c>
      <c r="AC23" s="11"/>
      <c r="AD23" s="11">
        <f t="shared" si="2"/>
        <v>8723552.25</v>
      </c>
    </row>
    <row r="24" spans="1:30" s="9" customFormat="1" x14ac:dyDescent="0.25">
      <c r="A24" s="4" t="s">
        <v>275</v>
      </c>
      <c r="B24" s="12">
        <f>B22-B23</f>
        <v>3069368</v>
      </c>
      <c r="C24" s="12">
        <f t="shared" ref="C24:AC24" si="5">C22-C23</f>
        <v>74598</v>
      </c>
      <c r="D24" s="12">
        <f t="shared" si="5"/>
        <v>5642248</v>
      </c>
      <c r="E24" s="12">
        <f t="shared" si="5"/>
        <v>-2043578</v>
      </c>
      <c r="F24" s="12">
        <f t="shared" si="5"/>
        <v>1479469</v>
      </c>
      <c r="G24" s="12">
        <f t="shared" si="5"/>
        <v>-1736218</v>
      </c>
      <c r="H24" s="12">
        <f t="shared" si="5"/>
        <v>2762266.7</v>
      </c>
      <c r="I24" s="12">
        <f t="shared" si="5"/>
        <v>-52549</v>
      </c>
      <c r="J24" s="12">
        <f t="shared" si="5"/>
        <v>-1020157</v>
      </c>
      <c r="K24" s="12">
        <f t="shared" si="5"/>
        <v>5074467</v>
      </c>
      <c r="L24" s="12">
        <f t="shared" si="5"/>
        <v>2399345</v>
      </c>
      <c r="M24" s="12">
        <f t="shared" si="5"/>
        <v>-97291</v>
      </c>
      <c r="N24" s="12">
        <f t="shared" si="5"/>
        <v>-1711997</v>
      </c>
      <c r="O24" s="12">
        <f t="shared" si="5"/>
        <v>-118521</v>
      </c>
      <c r="P24" s="12">
        <f t="shared" si="5"/>
        <v>-684979</v>
      </c>
      <c r="Q24" s="12">
        <f t="shared" si="5"/>
        <v>1492290.1535061449</v>
      </c>
      <c r="R24" s="12">
        <f t="shared" si="5"/>
        <v>8286921</v>
      </c>
      <c r="S24" s="12">
        <f t="shared" si="5"/>
        <v>3004908</v>
      </c>
      <c r="T24" s="12">
        <f t="shared" si="5"/>
        <v>103904</v>
      </c>
      <c r="U24" s="12">
        <f t="shared" si="5"/>
        <v>990820</v>
      </c>
      <c r="V24" s="12">
        <f t="shared" si="5"/>
        <v>-788390</v>
      </c>
      <c r="W24" s="12">
        <f t="shared" si="5"/>
        <v>266646</v>
      </c>
      <c r="X24" s="12">
        <f t="shared" si="5"/>
        <v>-1200984</v>
      </c>
      <c r="Y24" s="12">
        <f t="shared" si="5"/>
        <v>2198937</v>
      </c>
      <c r="Z24" s="12">
        <f t="shared" si="5"/>
        <v>1365759</v>
      </c>
      <c r="AA24" s="12">
        <f t="shared" si="5"/>
        <v>199791</v>
      </c>
      <c r="AB24" s="12">
        <f t="shared" si="5"/>
        <v>2205926</v>
      </c>
      <c r="AC24" s="12">
        <f t="shared" si="5"/>
        <v>0</v>
      </c>
      <c r="AD24" s="12">
        <f t="shared" si="2"/>
        <v>31162999.853506144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33.140625" style="8" customWidth="1"/>
    <col min="2" max="29" width="16" style="8" customWidth="1"/>
    <col min="30" max="30" width="16" style="9" customWidth="1"/>
    <col min="31" max="16384" width="9.140625" style="8"/>
  </cols>
  <sheetData>
    <row r="1" spans="1:30" ht="18.75" x14ac:dyDescent="0.3">
      <c r="A1" s="15" t="s">
        <v>288</v>
      </c>
    </row>
    <row r="2" spans="1:30" x14ac:dyDescent="0.25">
      <c r="A2" s="16" t="s">
        <v>43</v>
      </c>
    </row>
    <row r="3" spans="1:30" x14ac:dyDescent="0.25">
      <c r="A3" s="1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10</v>
      </c>
      <c r="K3" s="38" t="s">
        <v>11</v>
      </c>
      <c r="L3" s="38" t="s">
        <v>12</v>
      </c>
      <c r="M3" s="38" t="s">
        <v>13</v>
      </c>
      <c r="N3" s="38" t="s">
        <v>14</v>
      </c>
      <c r="O3" s="38" t="s">
        <v>15</v>
      </c>
      <c r="P3" s="38" t="s">
        <v>16</v>
      </c>
      <c r="Q3" s="38" t="s">
        <v>17</v>
      </c>
      <c r="R3" s="38" t="s">
        <v>18</v>
      </c>
      <c r="S3" s="38" t="s">
        <v>19</v>
      </c>
      <c r="T3" s="38" t="s">
        <v>20</v>
      </c>
      <c r="U3" s="38" t="s">
        <v>21</v>
      </c>
      <c r="V3" s="38" t="s">
        <v>22</v>
      </c>
      <c r="W3" s="38" t="s">
        <v>23</v>
      </c>
      <c r="X3" s="38" t="s">
        <v>24</v>
      </c>
      <c r="Y3" s="38" t="s">
        <v>25</v>
      </c>
      <c r="Z3" s="38" t="s">
        <v>26</v>
      </c>
      <c r="AA3" s="38" t="s">
        <v>27</v>
      </c>
      <c r="AB3" s="39" t="s">
        <v>28</v>
      </c>
      <c r="AC3" s="38" t="s">
        <v>29</v>
      </c>
      <c r="AD3" s="38" t="s">
        <v>30</v>
      </c>
    </row>
    <row r="4" spans="1:30" x14ac:dyDescent="0.25">
      <c r="A4" s="4" t="s">
        <v>240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</row>
    <row r="5" spans="1:30" x14ac:dyDescent="0.25">
      <c r="A5" s="26" t="s">
        <v>241</v>
      </c>
      <c r="B5" s="11">
        <v>2000000</v>
      </c>
      <c r="C5" s="11">
        <v>3569229</v>
      </c>
      <c r="D5" s="11">
        <v>1102273</v>
      </c>
      <c r="E5" s="11">
        <v>15714453</v>
      </c>
      <c r="F5" s="11">
        <v>2988057</v>
      </c>
      <c r="G5" s="11">
        <v>2400281</v>
      </c>
      <c r="H5" s="11">
        <v>13000000</v>
      </c>
      <c r="I5" s="11">
        <v>7100000</v>
      </c>
      <c r="J5" s="11">
        <v>7050000</v>
      </c>
      <c r="K5" s="11">
        <v>4475384</v>
      </c>
      <c r="L5" s="11">
        <v>2693215</v>
      </c>
      <c r="M5" s="11">
        <v>1350000</v>
      </c>
      <c r="N5" s="11">
        <v>6793500</v>
      </c>
      <c r="O5" s="11">
        <v>1125000</v>
      </c>
      <c r="P5" s="11">
        <v>8980000</v>
      </c>
      <c r="Q5" s="11">
        <v>1000000</v>
      </c>
      <c r="R5" s="11">
        <v>2000000</v>
      </c>
      <c r="S5" s="11">
        <v>2000000</v>
      </c>
      <c r="T5" s="11">
        <v>2070000</v>
      </c>
      <c r="U5" s="11">
        <v>1257750</v>
      </c>
      <c r="V5" s="11">
        <v>4750700</v>
      </c>
      <c r="W5" s="11">
        <v>3150000</v>
      </c>
      <c r="X5" s="11">
        <v>2030000</v>
      </c>
      <c r="Y5" s="11">
        <v>2582942</v>
      </c>
      <c r="Z5" s="11">
        <v>3869921</v>
      </c>
      <c r="AA5" s="11">
        <v>6325000</v>
      </c>
      <c r="AB5" s="11">
        <v>1500000</v>
      </c>
      <c r="AC5" s="11">
        <v>3500000</v>
      </c>
      <c r="AD5" s="12">
        <f t="shared" ref="AD5:AD10" si="0">SUM(B5:AC5)</f>
        <v>116377705</v>
      </c>
    </row>
    <row r="6" spans="1:30" x14ac:dyDescent="0.25">
      <c r="A6" s="26" t="s">
        <v>242</v>
      </c>
      <c r="B6" s="11">
        <v>24434932</v>
      </c>
      <c r="C6" s="11">
        <v>2587793</v>
      </c>
      <c r="D6" s="11">
        <v>26794815</v>
      </c>
      <c r="E6" s="11">
        <v>1720185</v>
      </c>
      <c r="F6" s="11">
        <v>5681511</v>
      </c>
      <c r="G6" s="11">
        <v>1951201</v>
      </c>
      <c r="H6" s="11">
        <v>19793483.969999999</v>
      </c>
      <c r="I6" s="11"/>
      <c r="J6" s="11"/>
      <c r="K6" s="11">
        <v>27281080</v>
      </c>
      <c r="L6" s="11">
        <v>9895072</v>
      </c>
      <c r="M6" s="11"/>
      <c r="N6" s="11"/>
      <c r="O6" s="11">
        <v>1455000</v>
      </c>
      <c r="P6" s="11"/>
      <c r="Q6" s="11">
        <v>38866995</v>
      </c>
      <c r="R6" s="11">
        <v>111737193</v>
      </c>
      <c r="S6" s="11">
        <v>31378963</v>
      </c>
      <c r="T6" s="11">
        <v>201668</v>
      </c>
      <c r="U6" s="11">
        <v>9045620</v>
      </c>
      <c r="V6" s="11"/>
      <c r="W6" s="11">
        <v>2581810</v>
      </c>
      <c r="X6" s="11">
        <v>11201000</v>
      </c>
      <c r="Y6" s="11">
        <v>6925716</v>
      </c>
      <c r="Z6" s="11">
        <v>3317550</v>
      </c>
      <c r="AA6" s="11">
        <v>4322709</v>
      </c>
      <c r="AB6" s="11">
        <v>55811975</v>
      </c>
      <c r="AC6" s="11">
        <v>858000</v>
      </c>
      <c r="AD6" s="12">
        <f t="shared" si="0"/>
        <v>397844271.97000003</v>
      </c>
    </row>
    <row r="7" spans="1:30" x14ac:dyDescent="0.25">
      <c r="A7" s="26" t="s">
        <v>243</v>
      </c>
      <c r="B7" s="11">
        <v>-176831</v>
      </c>
      <c r="C7" s="11">
        <v>2522</v>
      </c>
      <c r="D7" s="11"/>
      <c r="E7" s="11">
        <v>9166</v>
      </c>
      <c r="F7" s="11">
        <v>-141016</v>
      </c>
      <c r="G7" s="11">
        <v>191</v>
      </c>
      <c r="H7" s="11">
        <v>943057.86</v>
      </c>
      <c r="I7" s="11">
        <v>-20488</v>
      </c>
      <c r="J7" s="11">
        <v>3073</v>
      </c>
      <c r="K7" s="11">
        <v>3090130</v>
      </c>
      <c r="L7" s="11">
        <v>-6460</v>
      </c>
      <c r="M7" s="11"/>
      <c r="N7" s="11">
        <v>397</v>
      </c>
      <c r="O7" s="11">
        <v>434</v>
      </c>
      <c r="P7" s="11">
        <v>3050</v>
      </c>
      <c r="Q7" s="11">
        <v>51825016</v>
      </c>
      <c r="R7" s="11">
        <v>190732757</v>
      </c>
      <c r="S7" s="11">
        <v>84244225</v>
      </c>
      <c r="T7" s="11">
        <v>2229</v>
      </c>
      <c r="U7" s="11">
        <v>-139547</v>
      </c>
      <c r="V7" s="11"/>
      <c r="W7" s="11">
        <v>-22376</v>
      </c>
      <c r="X7" s="11">
        <v>-40059</v>
      </c>
      <c r="Y7" s="11">
        <v>-264</v>
      </c>
      <c r="Z7" s="11"/>
      <c r="AA7" s="11">
        <v>-174520</v>
      </c>
      <c r="AB7" s="11">
        <v>41358645</v>
      </c>
      <c r="AC7" s="11">
        <v>-25132</v>
      </c>
      <c r="AD7" s="12">
        <f t="shared" si="0"/>
        <v>371468199.86000001</v>
      </c>
    </row>
    <row r="8" spans="1:30" x14ac:dyDescent="0.25">
      <c r="A8" s="26" t="s">
        <v>244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v>948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>
        <f t="shared" si="0"/>
        <v>948</v>
      </c>
    </row>
    <row r="9" spans="1:30" x14ac:dyDescent="0.25">
      <c r="A9" s="26" t="s">
        <v>41</v>
      </c>
      <c r="B9" s="11">
        <f t="shared" ref="B9:AC9" si="1">B10-B8-B7-B6-B5</f>
        <v>19370</v>
      </c>
      <c r="C9" s="11">
        <f t="shared" si="1"/>
        <v>0</v>
      </c>
      <c r="D9" s="11">
        <f t="shared" si="1"/>
        <v>0</v>
      </c>
      <c r="E9" s="11">
        <f t="shared" si="1"/>
        <v>0</v>
      </c>
      <c r="F9" s="11">
        <f t="shared" si="1"/>
        <v>0</v>
      </c>
      <c r="G9" s="11">
        <f t="shared" si="1"/>
        <v>-1</v>
      </c>
      <c r="H9" s="11">
        <f t="shared" si="1"/>
        <v>0</v>
      </c>
      <c r="I9" s="11">
        <f t="shared" si="1"/>
        <v>0</v>
      </c>
      <c r="J9" s="11">
        <f t="shared" si="1"/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0</v>
      </c>
      <c r="P9" s="11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870000</v>
      </c>
      <c r="V9" s="11">
        <f t="shared" si="1"/>
        <v>0</v>
      </c>
      <c r="W9" s="11">
        <f t="shared" si="1"/>
        <v>-1</v>
      </c>
      <c r="X9" s="11">
        <f t="shared" si="1"/>
        <v>0</v>
      </c>
      <c r="Y9" s="11">
        <f t="shared" si="1"/>
        <v>1301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11">
        <f t="shared" si="1"/>
        <v>0</v>
      </c>
      <c r="AD9" s="12">
        <f t="shared" si="0"/>
        <v>890669</v>
      </c>
    </row>
    <row r="10" spans="1:30" s="9" customFormat="1" x14ac:dyDescent="0.25">
      <c r="A10" s="4" t="s">
        <v>51</v>
      </c>
      <c r="B10" s="12">
        <v>26277471</v>
      </c>
      <c r="C10" s="12">
        <v>6159544</v>
      </c>
      <c r="D10" s="12">
        <v>27897088</v>
      </c>
      <c r="E10" s="12">
        <v>17443804</v>
      </c>
      <c r="F10" s="12">
        <v>8528552</v>
      </c>
      <c r="G10" s="12">
        <v>4351672</v>
      </c>
      <c r="H10" s="12">
        <v>33736541.829999998</v>
      </c>
      <c r="I10" s="12">
        <v>7079512</v>
      </c>
      <c r="J10" s="12">
        <v>7053073</v>
      </c>
      <c r="K10" s="12">
        <v>34846594</v>
      </c>
      <c r="L10" s="12">
        <v>12581827</v>
      </c>
      <c r="M10" s="12">
        <v>1350000</v>
      </c>
      <c r="N10" s="12">
        <v>6793897</v>
      </c>
      <c r="O10" s="12">
        <v>2581382</v>
      </c>
      <c r="P10" s="12">
        <v>8983050</v>
      </c>
      <c r="Q10" s="12">
        <v>91692011</v>
      </c>
      <c r="R10" s="12">
        <v>304469950</v>
      </c>
      <c r="S10" s="12">
        <v>117623188</v>
      </c>
      <c r="T10" s="12">
        <v>2273897</v>
      </c>
      <c r="U10" s="12">
        <v>11033823</v>
      </c>
      <c r="V10" s="12">
        <v>4750700</v>
      </c>
      <c r="W10" s="12">
        <v>5709433</v>
      </c>
      <c r="X10" s="12">
        <v>13190941</v>
      </c>
      <c r="Y10" s="12">
        <v>9509695</v>
      </c>
      <c r="Z10" s="12">
        <v>7187471</v>
      </c>
      <c r="AA10" s="12">
        <v>10473189</v>
      </c>
      <c r="AB10" s="12">
        <v>98670620</v>
      </c>
      <c r="AC10" s="12">
        <v>4332868</v>
      </c>
      <c r="AD10" s="12">
        <f t="shared" si="0"/>
        <v>886581793.82999992</v>
      </c>
    </row>
    <row r="11" spans="1:30" s="9" customFormat="1" x14ac:dyDescent="0.25">
      <c r="A11" s="4" t="s">
        <v>245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28" customFormat="1" x14ac:dyDescent="0.25">
      <c r="A12" s="26" t="s">
        <v>246</v>
      </c>
      <c r="B12" s="30">
        <v>61052170</v>
      </c>
      <c r="C12" s="30">
        <v>7050580</v>
      </c>
      <c r="D12" s="30">
        <v>86796369</v>
      </c>
      <c r="E12" s="30">
        <v>28412013</v>
      </c>
      <c r="F12" s="30">
        <v>38607249</v>
      </c>
      <c r="G12" s="30">
        <v>1911297</v>
      </c>
      <c r="H12" s="30">
        <v>67133650.430000007</v>
      </c>
      <c r="I12" s="30">
        <v>20219532</v>
      </c>
      <c r="J12" s="30">
        <v>5951092</v>
      </c>
      <c r="K12" s="30">
        <v>115625186</v>
      </c>
      <c r="L12" s="30">
        <v>41110783</v>
      </c>
      <c r="M12" s="30">
        <v>1144268</v>
      </c>
      <c r="N12" s="30">
        <v>5033486</v>
      </c>
      <c r="O12" s="30">
        <v>8663776</v>
      </c>
      <c r="P12" s="30">
        <v>5664542</v>
      </c>
      <c r="Q12" s="30">
        <v>217597732</v>
      </c>
      <c r="R12" s="30">
        <v>445457175</v>
      </c>
      <c r="S12" s="30">
        <v>195992795</v>
      </c>
      <c r="T12" s="30">
        <v>2556683</v>
      </c>
      <c r="U12" s="30">
        <v>53813732</v>
      </c>
      <c r="V12" s="30">
        <v>4532926</v>
      </c>
      <c r="W12" s="30">
        <v>27156011</v>
      </c>
      <c r="X12" s="30">
        <v>33006063</v>
      </c>
      <c r="Y12" s="30">
        <v>60197148</v>
      </c>
      <c r="Z12" s="30">
        <v>8067147</v>
      </c>
      <c r="AA12" s="30">
        <v>36844037</v>
      </c>
      <c r="AB12" s="30">
        <v>232382394</v>
      </c>
      <c r="AC12" s="30">
        <v>10863696</v>
      </c>
      <c r="AD12" s="12">
        <f t="shared" ref="AD12:AD26" si="2">SUM(B12:AC12)</f>
        <v>1822843532.4300001</v>
      </c>
    </row>
    <row r="13" spans="1:30" x14ac:dyDescent="0.25">
      <c r="A13" s="26" t="s">
        <v>247</v>
      </c>
      <c r="B13" s="11">
        <v>37832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2048477</v>
      </c>
      <c r="R13" s="11">
        <v>3288489</v>
      </c>
      <c r="S13" s="11">
        <v>1740912</v>
      </c>
      <c r="T13" s="11"/>
      <c r="U13" s="11"/>
      <c r="V13" s="11"/>
      <c r="W13" s="11"/>
      <c r="X13" s="11"/>
      <c r="Y13" s="11"/>
      <c r="Z13" s="11"/>
      <c r="AA13" s="11"/>
      <c r="AB13" s="11">
        <v>2894353</v>
      </c>
      <c r="AC13" s="11"/>
      <c r="AD13" s="12">
        <f t="shared" si="2"/>
        <v>10010063</v>
      </c>
    </row>
    <row r="14" spans="1:30" x14ac:dyDescent="0.25">
      <c r="A14" s="26" t="s">
        <v>248</v>
      </c>
      <c r="B14" s="11">
        <v>574487</v>
      </c>
      <c r="C14" s="11">
        <v>246842</v>
      </c>
      <c r="D14" s="11">
        <v>2730681</v>
      </c>
      <c r="E14" s="11">
        <v>146598</v>
      </c>
      <c r="F14" s="11">
        <v>615244</v>
      </c>
      <c r="G14" s="11">
        <v>322</v>
      </c>
      <c r="H14" s="11">
        <v>1952764.36</v>
      </c>
      <c r="I14" s="11">
        <v>174208</v>
      </c>
      <c r="J14" s="11">
        <v>144133</v>
      </c>
      <c r="K14" s="11">
        <v>3831368</v>
      </c>
      <c r="L14" s="11">
        <v>220695</v>
      </c>
      <c r="M14" s="11">
        <v>136278</v>
      </c>
      <c r="N14" s="11">
        <v>243652</v>
      </c>
      <c r="O14" s="11">
        <v>62047</v>
      </c>
      <c r="P14" s="11">
        <v>233963</v>
      </c>
      <c r="Q14" s="11">
        <v>1821857</v>
      </c>
      <c r="R14" s="11">
        <v>2608052</v>
      </c>
      <c r="S14" s="11">
        <v>3086739</v>
      </c>
      <c r="T14" s="11">
        <v>4518</v>
      </c>
      <c r="U14" s="11">
        <v>339179</v>
      </c>
      <c r="V14" s="11">
        <v>387438.5</v>
      </c>
      <c r="W14" s="11">
        <v>326869</v>
      </c>
      <c r="X14" s="11">
        <v>530878</v>
      </c>
      <c r="Y14" s="11">
        <v>485186</v>
      </c>
      <c r="Z14" s="11">
        <v>654127</v>
      </c>
      <c r="AA14" s="11">
        <v>980812</v>
      </c>
      <c r="AB14" s="11">
        <v>1443723</v>
      </c>
      <c r="AC14" s="11">
        <v>253137</v>
      </c>
      <c r="AD14" s="12">
        <f t="shared" si="2"/>
        <v>24235797.859999999</v>
      </c>
    </row>
    <row r="15" spans="1:30" x14ac:dyDescent="0.25">
      <c r="A15" s="26" t="s">
        <v>249</v>
      </c>
      <c r="B15" s="11"/>
      <c r="C15" s="11">
        <v>149806</v>
      </c>
      <c r="D15" s="11">
        <v>633560</v>
      </c>
      <c r="E15" s="11"/>
      <c r="F15" s="11">
        <v>507409</v>
      </c>
      <c r="G15" s="11"/>
      <c r="H15" s="11">
        <v>564524.36</v>
      </c>
      <c r="I15" s="11"/>
      <c r="J15" s="11"/>
      <c r="K15" s="11">
        <v>1341914</v>
      </c>
      <c r="L15" s="11">
        <v>163300</v>
      </c>
      <c r="M15" s="11"/>
      <c r="N15" s="11"/>
      <c r="O15" s="11">
        <v>99482</v>
      </c>
      <c r="P15" s="11"/>
      <c r="Q15" s="11"/>
      <c r="R15" s="11">
        <v>2189300</v>
      </c>
      <c r="S15" s="11"/>
      <c r="T15" s="11">
        <v>12646</v>
      </c>
      <c r="U15" s="11">
        <v>372735</v>
      </c>
      <c r="V15" s="11"/>
      <c r="W15" s="11">
        <v>343935</v>
      </c>
      <c r="X15" s="11"/>
      <c r="Y15" s="11">
        <v>247739</v>
      </c>
      <c r="Z15" s="11"/>
      <c r="AA15" s="11"/>
      <c r="AB15" s="11"/>
      <c r="AC15" s="11">
        <v>31408</v>
      </c>
      <c r="AD15" s="12">
        <f t="shared" si="2"/>
        <v>6657758.3599999994</v>
      </c>
    </row>
    <row r="16" spans="1:30" x14ac:dyDescent="0.25">
      <c r="A16" s="17" t="s">
        <v>250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>
        <f t="shared" si="2"/>
        <v>0</v>
      </c>
    </row>
    <row r="17" spans="1:30" x14ac:dyDescent="0.25">
      <c r="A17" s="26" t="s">
        <v>251</v>
      </c>
      <c r="B17" s="11">
        <v>3614944</v>
      </c>
      <c r="C17" s="11">
        <v>2042068</v>
      </c>
      <c r="D17" s="11">
        <v>5315292</v>
      </c>
      <c r="E17" s="11">
        <v>424980</v>
      </c>
      <c r="F17" s="11">
        <v>289696</v>
      </c>
      <c r="G17" s="11">
        <v>258541</v>
      </c>
      <c r="H17" s="11">
        <v>5972869.6799999997</v>
      </c>
      <c r="I17" s="11">
        <v>620510</v>
      </c>
      <c r="J17" s="11">
        <v>240701</v>
      </c>
      <c r="K17" s="11">
        <v>1948029</v>
      </c>
      <c r="L17" s="11">
        <v>8139366</v>
      </c>
      <c r="M17" s="11">
        <v>4113</v>
      </c>
      <c r="N17" s="11">
        <v>311552</v>
      </c>
      <c r="O17" s="11">
        <v>115362</v>
      </c>
      <c r="P17" s="11">
        <v>132579</v>
      </c>
      <c r="Q17" s="11">
        <v>13805689</v>
      </c>
      <c r="R17" s="11">
        <v>70827441</v>
      </c>
      <c r="S17" s="11">
        <v>21089952</v>
      </c>
      <c r="T17" s="11">
        <v>15396</v>
      </c>
      <c r="U17" s="11">
        <v>1013015</v>
      </c>
      <c r="V17" s="11">
        <v>236468.9</v>
      </c>
      <c r="W17" s="11">
        <v>581807</v>
      </c>
      <c r="X17" s="11">
        <v>573819</v>
      </c>
      <c r="Y17" s="11">
        <v>208713</v>
      </c>
      <c r="Z17" s="11">
        <v>2719394</v>
      </c>
      <c r="AA17" s="11">
        <v>1162601</v>
      </c>
      <c r="AB17" s="11">
        <v>11937909</v>
      </c>
      <c r="AC17" s="11">
        <v>840777</v>
      </c>
      <c r="AD17" s="12">
        <f t="shared" si="2"/>
        <v>154443584.58000001</v>
      </c>
    </row>
    <row r="18" spans="1:30" x14ac:dyDescent="0.25">
      <c r="A18" s="26" t="s">
        <v>252</v>
      </c>
      <c r="B18" s="11">
        <v>10257730</v>
      </c>
      <c r="C18" s="11">
        <v>916765</v>
      </c>
      <c r="D18" s="11">
        <v>9611911</v>
      </c>
      <c r="E18" s="11">
        <v>2628450</v>
      </c>
      <c r="F18" s="11">
        <v>4238895</v>
      </c>
      <c r="G18" s="11">
        <v>307699</v>
      </c>
      <c r="H18" s="11">
        <v>13367101.810000001</v>
      </c>
      <c r="I18" s="11">
        <v>3129721</v>
      </c>
      <c r="J18" s="11">
        <v>899331</v>
      </c>
      <c r="K18" s="11">
        <v>34011547</v>
      </c>
      <c r="L18" s="11">
        <v>5686645</v>
      </c>
      <c r="M18" s="11">
        <v>101029</v>
      </c>
      <c r="N18" s="11">
        <v>511434</v>
      </c>
      <c r="O18" s="11">
        <v>638061</v>
      </c>
      <c r="P18" s="11">
        <v>420110</v>
      </c>
      <c r="Q18" s="11">
        <v>50123507</v>
      </c>
      <c r="R18" s="11">
        <v>104430200</v>
      </c>
      <c r="S18" s="11">
        <v>33531227</v>
      </c>
      <c r="T18" s="11">
        <v>157159</v>
      </c>
      <c r="U18" s="11">
        <v>7391825</v>
      </c>
      <c r="V18" s="11">
        <v>582104.1</v>
      </c>
      <c r="W18" s="11">
        <v>2030981</v>
      </c>
      <c r="X18" s="11">
        <v>2122832</v>
      </c>
      <c r="Y18" s="11">
        <v>2818221</v>
      </c>
      <c r="Z18" s="11">
        <v>2279613</v>
      </c>
      <c r="AA18" s="11">
        <v>4459100</v>
      </c>
      <c r="AB18" s="11">
        <v>31422036</v>
      </c>
      <c r="AC18" s="11">
        <v>2967399</v>
      </c>
      <c r="AD18" s="12">
        <f t="shared" si="2"/>
        <v>331042633.91000003</v>
      </c>
    </row>
    <row r="19" spans="1:30" s="44" customFormat="1" x14ac:dyDescent="0.25">
      <c r="A19" s="17" t="s">
        <v>253</v>
      </c>
      <c r="B19" s="43">
        <f t="shared" ref="B19:AC19" si="3">B17+B18</f>
        <v>13872674</v>
      </c>
      <c r="C19" s="43">
        <f t="shared" si="3"/>
        <v>2958833</v>
      </c>
      <c r="D19" s="43">
        <f t="shared" si="3"/>
        <v>14927203</v>
      </c>
      <c r="E19" s="43">
        <f t="shared" si="3"/>
        <v>3053430</v>
      </c>
      <c r="F19" s="43">
        <f t="shared" si="3"/>
        <v>4528591</v>
      </c>
      <c r="G19" s="43">
        <f t="shared" si="3"/>
        <v>566240</v>
      </c>
      <c r="H19" s="43">
        <f t="shared" si="3"/>
        <v>19339971.490000002</v>
      </c>
      <c r="I19" s="43">
        <f t="shared" si="3"/>
        <v>3750231</v>
      </c>
      <c r="J19" s="43">
        <f t="shared" si="3"/>
        <v>1140032</v>
      </c>
      <c r="K19" s="43">
        <f t="shared" si="3"/>
        <v>35959576</v>
      </c>
      <c r="L19" s="43">
        <f t="shared" si="3"/>
        <v>13826011</v>
      </c>
      <c r="M19" s="43">
        <f t="shared" si="3"/>
        <v>105142</v>
      </c>
      <c r="N19" s="43">
        <f t="shared" si="3"/>
        <v>822986</v>
      </c>
      <c r="O19" s="43">
        <f t="shared" si="3"/>
        <v>753423</v>
      </c>
      <c r="P19" s="43">
        <f t="shared" si="3"/>
        <v>552689</v>
      </c>
      <c r="Q19" s="43">
        <f t="shared" si="3"/>
        <v>63929196</v>
      </c>
      <c r="R19" s="43">
        <f t="shared" si="3"/>
        <v>175257641</v>
      </c>
      <c r="S19" s="43">
        <f t="shared" si="3"/>
        <v>54621179</v>
      </c>
      <c r="T19" s="43">
        <f t="shared" si="3"/>
        <v>172555</v>
      </c>
      <c r="U19" s="43">
        <f t="shared" si="3"/>
        <v>8404840</v>
      </c>
      <c r="V19" s="43">
        <f t="shared" si="3"/>
        <v>818573</v>
      </c>
      <c r="W19" s="43">
        <f t="shared" si="3"/>
        <v>2612788</v>
      </c>
      <c r="X19" s="43">
        <f t="shared" si="3"/>
        <v>2696651</v>
      </c>
      <c r="Y19" s="43">
        <f t="shared" si="3"/>
        <v>3026934</v>
      </c>
      <c r="Z19" s="43">
        <f t="shared" si="3"/>
        <v>4999007</v>
      </c>
      <c r="AA19" s="43">
        <f t="shared" si="3"/>
        <v>5621701</v>
      </c>
      <c r="AB19" s="43">
        <f t="shared" si="3"/>
        <v>43359945</v>
      </c>
      <c r="AC19" s="43">
        <f t="shared" si="3"/>
        <v>3808176</v>
      </c>
      <c r="AD19" s="12">
        <f t="shared" si="2"/>
        <v>485486218.49000001</v>
      </c>
    </row>
    <row r="20" spans="1:30" x14ac:dyDescent="0.25">
      <c r="A20" s="26" t="s">
        <v>254</v>
      </c>
      <c r="B20" s="11">
        <v>37707648</v>
      </c>
      <c r="C20" s="11">
        <v>2304580</v>
      </c>
      <c r="D20" s="11">
        <v>51198284</v>
      </c>
      <c r="E20" s="11">
        <v>19068229</v>
      </c>
      <c r="F20" s="11">
        <v>23099917</v>
      </c>
      <c r="G20" s="11">
        <v>779284</v>
      </c>
      <c r="H20" s="11">
        <v>48113143.509999998</v>
      </c>
      <c r="I20" s="11">
        <v>14213478</v>
      </c>
      <c r="J20" s="11">
        <v>3538064</v>
      </c>
      <c r="K20" s="11">
        <v>90753688</v>
      </c>
      <c r="L20" s="11">
        <v>27651789</v>
      </c>
      <c r="M20" s="11">
        <v>98610</v>
      </c>
      <c r="N20" s="11">
        <v>2158891</v>
      </c>
      <c r="O20" s="11">
        <v>5620226</v>
      </c>
      <c r="P20" s="11">
        <v>1701484</v>
      </c>
      <c r="Q20" s="11">
        <v>138460592</v>
      </c>
      <c r="R20" s="11">
        <v>235647939</v>
      </c>
      <c r="S20" s="11">
        <v>95109579</v>
      </c>
      <c r="T20" s="11">
        <v>239465</v>
      </c>
      <c r="U20" s="11">
        <v>42648575</v>
      </c>
      <c r="V20" s="11">
        <v>1888849.1</v>
      </c>
      <c r="W20" s="11">
        <v>16286078</v>
      </c>
      <c r="X20" s="11">
        <v>13888686</v>
      </c>
      <c r="Y20" s="11">
        <v>45387993</v>
      </c>
      <c r="Z20" s="11">
        <v>2380471</v>
      </c>
      <c r="AA20" s="11">
        <v>21609198</v>
      </c>
      <c r="AB20" s="11">
        <v>120537118</v>
      </c>
      <c r="AC20" s="11">
        <v>8439406</v>
      </c>
      <c r="AD20" s="12">
        <f t="shared" si="2"/>
        <v>1070531264.61</v>
      </c>
    </row>
    <row r="21" spans="1:30" x14ac:dyDescent="0.25">
      <c r="A21" s="26" t="s">
        <v>69</v>
      </c>
      <c r="B21" s="11">
        <v>11552044</v>
      </c>
      <c r="C21" s="11">
        <v>5352749</v>
      </c>
      <c r="D21" s="11">
        <v>25992441</v>
      </c>
      <c r="E21" s="11">
        <v>5644274</v>
      </c>
      <c r="F21" s="11">
        <v>12630024</v>
      </c>
      <c r="G21" s="11">
        <v>833136</v>
      </c>
      <c r="H21" s="11">
        <v>7141225.2999999998</v>
      </c>
      <c r="I21" s="11">
        <v>5454730</v>
      </c>
      <c r="J21" s="11">
        <v>2274261</v>
      </c>
      <c r="K21" s="11">
        <v>31157762</v>
      </c>
      <c r="L21" s="11">
        <v>15087173</v>
      </c>
      <c r="M21" s="11">
        <v>37043</v>
      </c>
      <c r="N21" s="11">
        <v>1798114</v>
      </c>
      <c r="O21" s="11">
        <v>1764608</v>
      </c>
      <c r="P21" s="11">
        <v>2659857</v>
      </c>
      <c r="Q21" s="11">
        <v>58288711</v>
      </c>
      <c r="R21" s="11">
        <v>93040528</v>
      </c>
      <c r="S21" s="11">
        <v>48955252</v>
      </c>
      <c r="T21" s="11">
        <v>233040</v>
      </c>
      <c r="U21" s="11">
        <v>9248088</v>
      </c>
      <c r="V21" s="11">
        <v>2139684.4</v>
      </c>
      <c r="W21" s="11">
        <v>8444092</v>
      </c>
      <c r="X21" s="11">
        <v>15175322</v>
      </c>
      <c r="Y21" s="11">
        <v>9059319</v>
      </c>
      <c r="Z21" s="11">
        <v>7738771</v>
      </c>
      <c r="AA21" s="11">
        <v>11364163</v>
      </c>
      <c r="AB21" s="11">
        <v>60872679</v>
      </c>
      <c r="AC21" s="11">
        <v>3496422</v>
      </c>
      <c r="AD21" s="12">
        <f t="shared" si="2"/>
        <v>457435512.69999999</v>
      </c>
    </row>
    <row r="22" spans="1:30" s="44" customFormat="1" x14ac:dyDescent="0.25">
      <c r="A22" s="17" t="s">
        <v>255</v>
      </c>
      <c r="B22" s="43">
        <f t="shared" ref="B22:AC22" si="4">B20+B21</f>
        <v>49259692</v>
      </c>
      <c r="C22" s="43">
        <f t="shared" si="4"/>
        <v>7657329</v>
      </c>
      <c r="D22" s="43">
        <f t="shared" si="4"/>
        <v>77190725</v>
      </c>
      <c r="E22" s="43">
        <f t="shared" si="4"/>
        <v>24712503</v>
      </c>
      <c r="F22" s="43">
        <f t="shared" si="4"/>
        <v>35729941</v>
      </c>
      <c r="G22" s="43">
        <f t="shared" si="4"/>
        <v>1612420</v>
      </c>
      <c r="H22" s="43">
        <f t="shared" si="4"/>
        <v>55254368.809999995</v>
      </c>
      <c r="I22" s="43">
        <f t="shared" si="4"/>
        <v>19668208</v>
      </c>
      <c r="J22" s="43">
        <f t="shared" si="4"/>
        <v>5812325</v>
      </c>
      <c r="K22" s="43">
        <f t="shared" si="4"/>
        <v>121911450</v>
      </c>
      <c r="L22" s="43">
        <f t="shared" si="4"/>
        <v>42738962</v>
      </c>
      <c r="M22" s="43">
        <f t="shared" si="4"/>
        <v>135653</v>
      </c>
      <c r="N22" s="43">
        <f t="shared" si="4"/>
        <v>3957005</v>
      </c>
      <c r="O22" s="43">
        <f t="shared" si="4"/>
        <v>7384834</v>
      </c>
      <c r="P22" s="43">
        <f t="shared" si="4"/>
        <v>4361341</v>
      </c>
      <c r="Q22" s="43">
        <f t="shared" si="4"/>
        <v>196749303</v>
      </c>
      <c r="R22" s="43">
        <f t="shared" si="4"/>
        <v>328688467</v>
      </c>
      <c r="S22" s="43">
        <f t="shared" si="4"/>
        <v>144064831</v>
      </c>
      <c r="T22" s="43">
        <f t="shared" si="4"/>
        <v>472505</v>
      </c>
      <c r="U22" s="43">
        <f t="shared" si="4"/>
        <v>51896663</v>
      </c>
      <c r="V22" s="43">
        <f t="shared" si="4"/>
        <v>4028533.5</v>
      </c>
      <c r="W22" s="43">
        <f t="shared" si="4"/>
        <v>24730170</v>
      </c>
      <c r="X22" s="43">
        <f t="shared" si="4"/>
        <v>29064008</v>
      </c>
      <c r="Y22" s="43">
        <f t="shared" si="4"/>
        <v>54447312</v>
      </c>
      <c r="Z22" s="43">
        <f t="shared" si="4"/>
        <v>10119242</v>
      </c>
      <c r="AA22" s="43">
        <f t="shared" si="4"/>
        <v>32973361</v>
      </c>
      <c r="AB22" s="43">
        <f t="shared" si="4"/>
        <v>181409797</v>
      </c>
      <c r="AC22" s="43">
        <f t="shared" si="4"/>
        <v>11935828</v>
      </c>
      <c r="AD22" s="12">
        <f t="shared" si="2"/>
        <v>1527966777.3099999</v>
      </c>
    </row>
    <row r="23" spans="1:30" s="9" customFormat="1" x14ac:dyDescent="0.25">
      <c r="A23" s="4" t="s">
        <v>256</v>
      </c>
      <c r="B23" s="12">
        <f t="shared" ref="B23:AC23" si="5">B19-B22</f>
        <v>-35387018</v>
      </c>
      <c r="C23" s="12">
        <f t="shared" si="5"/>
        <v>-4698496</v>
      </c>
      <c r="D23" s="12">
        <f t="shared" si="5"/>
        <v>-62263522</v>
      </c>
      <c r="E23" s="12">
        <f t="shared" si="5"/>
        <v>-21659073</v>
      </c>
      <c r="F23" s="12">
        <f t="shared" si="5"/>
        <v>-31201350</v>
      </c>
      <c r="G23" s="12">
        <f t="shared" si="5"/>
        <v>-1046180</v>
      </c>
      <c r="H23" s="12">
        <f t="shared" si="5"/>
        <v>-35914397.319999993</v>
      </c>
      <c r="I23" s="12">
        <f t="shared" si="5"/>
        <v>-15917977</v>
      </c>
      <c r="J23" s="12">
        <f t="shared" si="5"/>
        <v>-4672293</v>
      </c>
      <c r="K23" s="12">
        <f t="shared" si="5"/>
        <v>-85951874</v>
      </c>
      <c r="L23" s="12">
        <f t="shared" si="5"/>
        <v>-28912951</v>
      </c>
      <c r="M23" s="12">
        <f t="shared" si="5"/>
        <v>-30511</v>
      </c>
      <c r="N23" s="12">
        <f t="shared" si="5"/>
        <v>-3134019</v>
      </c>
      <c r="O23" s="12">
        <f t="shared" si="5"/>
        <v>-6631411</v>
      </c>
      <c r="P23" s="12">
        <f t="shared" si="5"/>
        <v>-3808652</v>
      </c>
      <c r="Q23" s="12">
        <f t="shared" si="5"/>
        <v>-132820107</v>
      </c>
      <c r="R23" s="12">
        <f t="shared" si="5"/>
        <v>-153430826</v>
      </c>
      <c r="S23" s="12">
        <f t="shared" si="5"/>
        <v>-89443652</v>
      </c>
      <c r="T23" s="12">
        <f t="shared" si="5"/>
        <v>-299950</v>
      </c>
      <c r="U23" s="12">
        <f t="shared" si="5"/>
        <v>-43491823</v>
      </c>
      <c r="V23" s="12">
        <f t="shared" si="5"/>
        <v>-3209960.5</v>
      </c>
      <c r="W23" s="12">
        <f t="shared" si="5"/>
        <v>-22117382</v>
      </c>
      <c r="X23" s="12">
        <f t="shared" si="5"/>
        <v>-26367357</v>
      </c>
      <c r="Y23" s="12">
        <f t="shared" si="5"/>
        <v>-51420378</v>
      </c>
      <c r="Z23" s="12">
        <f t="shared" si="5"/>
        <v>-5120235</v>
      </c>
      <c r="AA23" s="12">
        <f t="shared" si="5"/>
        <v>-27351660</v>
      </c>
      <c r="AB23" s="12">
        <f t="shared" si="5"/>
        <v>-138049852</v>
      </c>
      <c r="AC23" s="12">
        <f t="shared" si="5"/>
        <v>-8127652</v>
      </c>
      <c r="AD23" s="12">
        <f t="shared" si="2"/>
        <v>-1042480558.8199999</v>
      </c>
    </row>
    <row r="24" spans="1:30" ht="30" x14ac:dyDescent="0.25">
      <c r="A24" s="26" t="s">
        <v>257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3044052</v>
      </c>
      <c r="R24" s="11">
        <v>4357760</v>
      </c>
      <c r="S24" s="11">
        <v>6246394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2">
        <f t="shared" si="2"/>
        <v>13648206</v>
      </c>
    </row>
    <row r="25" spans="1:30" ht="30" x14ac:dyDescent="0.25">
      <c r="A25" s="26" t="s">
        <v>258</v>
      </c>
      <c r="B25" s="11"/>
      <c r="C25" s="11">
        <v>3410812</v>
      </c>
      <c r="D25" s="11"/>
      <c r="E25" s="11">
        <v>10544266</v>
      </c>
      <c r="F25" s="11"/>
      <c r="G25" s="11">
        <v>3486232</v>
      </c>
      <c r="H25" s="11"/>
      <c r="I25" s="11">
        <v>2603749</v>
      </c>
      <c r="J25" s="11">
        <v>5630141</v>
      </c>
      <c r="K25" s="11"/>
      <c r="L25" s="11"/>
      <c r="M25" s="11">
        <v>99965</v>
      </c>
      <c r="N25" s="11">
        <v>4650778</v>
      </c>
      <c r="O25" s="11">
        <v>387488</v>
      </c>
      <c r="P25" s="11">
        <v>6893197</v>
      </c>
      <c r="Q25" s="11"/>
      <c r="R25" s="11"/>
      <c r="S25" s="11"/>
      <c r="T25" s="11"/>
      <c r="U25" s="11"/>
      <c r="V25" s="11">
        <v>3040295.7</v>
      </c>
      <c r="W25" s="11"/>
      <c r="X25" s="11">
        <v>6021357</v>
      </c>
      <c r="Y25" s="11"/>
      <c r="Z25" s="11">
        <v>3586431</v>
      </c>
      <c r="AA25" s="11"/>
      <c r="AB25" s="11"/>
      <c r="AC25" s="11">
        <v>1312279</v>
      </c>
      <c r="AD25" s="12">
        <f t="shared" si="2"/>
        <v>51666990.700000003</v>
      </c>
    </row>
    <row r="26" spans="1:30" s="9" customFormat="1" x14ac:dyDescent="0.25">
      <c r="A26" s="4" t="s">
        <v>51</v>
      </c>
      <c r="B26" s="12">
        <v>26277471</v>
      </c>
      <c r="C26" s="12">
        <v>6159544</v>
      </c>
      <c r="D26" s="12">
        <v>27897088</v>
      </c>
      <c r="E26" s="12">
        <v>17443804</v>
      </c>
      <c r="F26" s="12">
        <v>8528552</v>
      </c>
      <c r="G26" s="12">
        <v>4351672</v>
      </c>
      <c r="H26" s="12">
        <v>33736541.829999998</v>
      </c>
      <c r="I26" s="12">
        <v>7079512</v>
      </c>
      <c r="J26" s="12">
        <v>7053073</v>
      </c>
      <c r="K26" s="12">
        <v>34846594</v>
      </c>
      <c r="L26" s="12">
        <v>12581827</v>
      </c>
      <c r="M26" s="12">
        <v>1350000</v>
      </c>
      <c r="N26" s="12">
        <v>6793897</v>
      </c>
      <c r="O26" s="12">
        <v>2581382</v>
      </c>
      <c r="P26" s="12">
        <v>8983050</v>
      </c>
      <c r="Q26" s="12">
        <v>91692011</v>
      </c>
      <c r="R26" s="12">
        <v>304469950</v>
      </c>
      <c r="S26" s="12">
        <v>117623188</v>
      </c>
      <c r="T26" s="12">
        <v>2273897</v>
      </c>
      <c r="U26" s="12">
        <v>11033823</v>
      </c>
      <c r="V26" s="12">
        <v>4750700</v>
      </c>
      <c r="W26" s="12">
        <v>5709433</v>
      </c>
      <c r="X26" s="12">
        <v>13190941</v>
      </c>
      <c r="Y26" s="12">
        <v>9509695</v>
      </c>
      <c r="Z26" s="12">
        <v>7187471</v>
      </c>
      <c r="AA26" s="12">
        <v>10473189</v>
      </c>
      <c r="AB26" s="12">
        <v>98670618</v>
      </c>
      <c r="AC26" s="12">
        <v>4332868</v>
      </c>
      <c r="AD26" s="12">
        <f t="shared" si="2"/>
        <v>886581791.82999992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33.140625" style="8" customWidth="1"/>
    <col min="2" max="29" width="16" style="8" customWidth="1"/>
    <col min="30" max="16384" width="9.140625" style="8"/>
  </cols>
  <sheetData>
    <row r="1" spans="1:29" ht="18.75" x14ac:dyDescent="0.3">
      <c r="A1" s="6" t="s">
        <v>239</v>
      </c>
    </row>
    <row r="2" spans="1:29" x14ac:dyDescent="0.25">
      <c r="A2" s="16" t="s">
        <v>43</v>
      </c>
    </row>
    <row r="3" spans="1:29" x14ac:dyDescent="0.25">
      <c r="A3" s="33" t="s">
        <v>224</v>
      </c>
    </row>
    <row r="4" spans="1:29" x14ac:dyDescent="0.25">
      <c r="A4" s="1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22</v>
      </c>
      <c r="V4" s="45" t="s">
        <v>23</v>
      </c>
      <c r="W4" s="45" t="s">
        <v>24</v>
      </c>
      <c r="X4" s="45" t="s">
        <v>25</v>
      </c>
      <c r="Y4" s="45" t="s">
        <v>26</v>
      </c>
      <c r="Z4" s="45" t="s">
        <v>27</v>
      </c>
      <c r="AA4" s="46" t="s">
        <v>28</v>
      </c>
      <c r="AB4" s="45" t="s">
        <v>29</v>
      </c>
      <c r="AC4" s="45" t="s">
        <v>30</v>
      </c>
    </row>
    <row r="5" spans="1:29" x14ac:dyDescent="0.25">
      <c r="A5" s="11" t="s">
        <v>277</v>
      </c>
      <c r="B5" s="11"/>
      <c r="C5" s="11"/>
      <c r="D5" s="11"/>
      <c r="E5" s="11"/>
      <c r="F5" s="11"/>
      <c r="G5" s="11"/>
      <c r="H5" s="11"/>
      <c r="I5" s="11"/>
      <c r="J5" s="11"/>
      <c r="K5" s="11">
        <v>6327029</v>
      </c>
      <c r="L5" s="11">
        <v>2659496</v>
      </c>
      <c r="M5" s="11"/>
      <c r="N5" s="11"/>
      <c r="O5" s="11"/>
      <c r="P5" s="11"/>
      <c r="Q5" s="11">
        <v>9091508</v>
      </c>
      <c r="R5" s="11">
        <v>25495199</v>
      </c>
      <c r="S5" s="11">
        <v>10475353</v>
      </c>
      <c r="T5" s="11"/>
      <c r="U5" s="11"/>
      <c r="V5" s="11"/>
      <c r="W5" s="11"/>
      <c r="X5" s="11"/>
      <c r="Y5" s="11"/>
      <c r="Z5" s="11">
        <v>3849420</v>
      </c>
      <c r="AA5" s="11">
        <v>13113873</v>
      </c>
      <c r="AB5" s="11">
        <v>1310342</v>
      </c>
      <c r="AC5" s="11">
        <f>SUM(B5:AB5)</f>
        <v>72322220</v>
      </c>
    </row>
    <row r="6" spans="1:29" x14ac:dyDescent="0.25">
      <c r="A6" s="11" t="s">
        <v>237</v>
      </c>
      <c r="B6" s="11"/>
      <c r="C6" s="11"/>
      <c r="D6" s="11"/>
      <c r="E6" s="11"/>
      <c r="F6" s="11"/>
      <c r="G6" s="11"/>
      <c r="H6" s="11"/>
      <c r="I6" s="11"/>
      <c r="J6" s="11"/>
      <c r="K6" s="11">
        <v>624830</v>
      </c>
      <c r="L6" s="11">
        <v>195383</v>
      </c>
      <c r="M6" s="11"/>
      <c r="N6" s="11"/>
      <c r="O6" s="11"/>
      <c r="P6" s="11"/>
      <c r="Q6" s="11">
        <v>7686533</v>
      </c>
      <c r="R6" s="11">
        <v>21381924</v>
      </c>
      <c r="S6" s="11">
        <v>6244038</v>
      </c>
      <c r="T6" s="11"/>
      <c r="U6" s="11"/>
      <c r="V6" s="11"/>
      <c r="W6" s="11"/>
      <c r="X6" s="11"/>
      <c r="Y6" s="11"/>
      <c r="Z6" s="11">
        <v>711768</v>
      </c>
      <c r="AA6" s="11">
        <v>8236210</v>
      </c>
      <c r="AB6" s="11">
        <v>480189</v>
      </c>
      <c r="AC6" s="11">
        <f>SUM(B6:AB6)</f>
        <v>45560875</v>
      </c>
    </row>
    <row r="7" spans="1:29" x14ac:dyDescent="0.25">
      <c r="A7" s="11" t="s">
        <v>238</v>
      </c>
      <c r="B7" s="11"/>
      <c r="C7" s="11"/>
      <c r="D7" s="11"/>
      <c r="E7" s="11"/>
      <c r="F7" s="11"/>
      <c r="G7" s="11"/>
      <c r="H7" s="11"/>
      <c r="I7" s="11"/>
      <c r="J7" s="11"/>
      <c r="K7" s="11">
        <v>995012</v>
      </c>
      <c r="L7" s="11">
        <v>449291</v>
      </c>
      <c r="M7" s="11"/>
      <c r="N7" s="11"/>
      <c r="O7" s="11"/>
      <c r="P7" s="11"/>
      <c r="Q7" s="11">
        <v>7564611</v>
      </c>
      <c r="R7" s="11">
        <v>20732570</v>
      </c>
      <c r="S7" s="11">
        <v>5655915</v>
      </c>
      <c r="T7" s="11"/>
      <c r="U7" s="11"/>
      <c r="V7" s="11"/>
      <c r="W7" s="11"/>
      <c r="X7" s="11"/>
      <c r="Y7" s="11"/>
      <c r="Z7" s="11">
        <v>267636</v>
      </c>
      <c r="AA7" s="11">
        <v>7906843</v>
      </c>
      <c r="AB7" s="11">
        <v>551843</v>
      </c>
      <c r="AC7" s="11">
        <f>SUM(B7:AB7)</f>
        <v>44123721</v>
      </c>
    </row>
    <row r="9" spans="1:29" x14ac:dyDescent="0.25">
      <c r="A9" s="29" t="s">
        <v>225</v>
      </c>
    </row>
    <row r="10" spans="1:29" x14ac:dyDescent="0.25">
      <c r="A10" s="1" t="s">
        <v>0</v>
      </c>
      <c r="B10" s="45" t="s">
        <v>1</v>
      </c>
      <c r="C10" s="45" t="s">
        <v>2</v>
      </c>
      <c r="D10" s="45" t="s">
        <v>3</v>
      </c>
      <c r="E10" s="45" t="s">
        <v>4</v>
      </c>
      <c r="F10" s="45" t="s">
        <v>5</v>
      </c>
      <c r="G10" s="45" t="s">
        <v>6</v>
      </c>
      <c r="H10" s="45" t="s">
        <v>7</v>
      </c>
      <c r="I10" s="45" t="s">
        <v>8</v>
      </c>
      <c r="J10" s="45" t="s">
        <v>10</v>
      </c>
      <c r="K10" s="45" t="s">
        <v>11</v>
      </c>
      <c r="L10" s="45" t="s">
        <v>12</v>
      </c>
      <c r="M10" s="45" t="s">
        <v>13</v>
      </c>
      <c r="N10" s="45" t="s">
        <v>14</v>
      </c>
      <c r="O10" s="45" t="s">
        <v>15</v>
      </c>
      <c r="P10" s="45" t="s">
        <v>16</v>
      </c>
      <c r="Q10" s="45" t="s">
        <v>17</v>
      </c>
      <c r="R10" s="45" t="s">
        <v>18</v>
      </c>
      <c r="S10" s="45" t="s">
        <v>19</v>
      </c>
      <c r="T10" s="45" t="s">
        <v>20</v>
      </c>
      <c r="U10" s="45" t="s">
        <v>22</v>
      </c>
      <c r="V10" s="45" t="s">
        <v>23</v>
      </c>
      <c r="W10" s="45" t="s">
        <v>24</v>
      </c>
      <c r="X10" s="45" t="s">
        <v>25</v>
      </c>
      <c r="Y10" s="45" t="s">
        <v>26</v>
      </c>
      <c r="Z10" s="45" t="s">
        <v>27</v>
      </c>
      <c r="AA10" s="46" t="s">
        <v>28</v>
      </c>
      <c r="AB10" s="45" t="s">
        <v>29</v>
      </c>
      <c r="AC10" s="45" t="s">
        <v>30</v>
      </c>
    </row>
    <row r="11" spans="1:29" x14ac:dyDescent="0.25">
      <c r="A11" s="11" t="s">
        <v>277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v>2998026</v>
      </c>
      <c r="L11" s="11">
        <v>1167348</v>
      </c>
      <c r="M11" s="11"/>
      <c r="N11" s="11"/>
      <c r="O11" s="11"/>
      <c r="P11" s="11"/>
      <c r="Q11" s="11">
        <v>2634810</v>
      </c>
      <c r="R11" s="11">
        <v>6747831</v>
      </c>
      <c r="S11" s="11">
        <v>4425431</v>
      </c>
      <c r="T11" s="11"/>
      <c r="U11" s="11"/>
      <c r="V11" s="11"/>
      <c r="W11" s="11"/>
      <c r="X11" s="11"/>
      <c r="Y11" s="11"/>
      <c r="Z11" s="11">
        <v>2654326</v>
      </c>
      <c r="AA11" s="11">
        <v>4382790</v>
      </c>
      <c r="AB11" s="11">
        <f>145315+23340</f>
        <v>168655</v>
      </c>
      <c r="AC11" s="11">
        <f>SUM(B11:AB11)</f>
        <v>25179217</v>
      </c>
    </row>
    <row r="12" spans="1:29" x14ac:dyDescent="0.25">
      <c r="A12" s="11" t="s">
        <v>237</v>
      </c>
      <c r="B12" s="11"/>
      <c r="C12" s="11"/>
      <c r="D12" s="11"/>
      <c r="E12" s="11"/>
      <c r="F12" s="11"/>
      <c r="G12" s="11"/>
      <c r="H12" s="11"/>
      <c r="I12" s="11"/>
      <c r="J12" s="11"/>
      <c r="K12" s="11">
        <v>1636956</v>
      </c>
      <c r="L12" s="11">
        <v>166941</v>
      </c>
      <c r="M12" s="11"/>
      <c r="N12" s="11"/>
      <c r="O12" s="11"/>
      <c r="P12" s="11"/>
      <c r="Q12" s="11">
        <v>2304297</v>
      </c>
      <c r="R12" s="11">
        <v>4138889</v>
      </c>
      <c r="S12" s="11">
        <v>2558146</v>
      </c>
      <c r="T12" s="11"/>
      <c r="U12" s="11"/>
      <c r="V12" s="11"/>
      <c r="W12" s="11"/>
      <c r="X12" s="11"/>
      <c r="Y12" s="11"/>
      <c r="Z12" s="11">
        <v>2250788</v>
      </c>
      <c r="AA12" s="11">
        <v>2705609</v>
      </c>
      <c r="AB12" s="11">
        <f>106878-3596</f>
        <v>103282</v>
      </c>
      <c r="AC12" s="11">
        <f>SUM(B12:AB12)</f>
        <v>15864908</v>
      </c>
    </row>
    <row r="13" spans="1:29" x14ac:dyDescent="0.25">
      <c r="A13" s="11" t="s">
        <v>238</v>
      </c>
      <c r="B13" s="11"/>
      <c r="C13" s="11"/>
      <c r="D13" s="11"/>
      <c r="E13" s="11"/>
      <c r="F13" s="11"/>
      <c r="G13" s="11"/>
      <c r="H13" s="11"/>
      <c r="I13" s="11"/>
      <c r="J13" s="11"/>
      <c r="K13" s="11">
        <v>1849297</v>
      </c>
      <c r="L13" s="11">
        <v>396139</v>
      </c>
      <c r="M13" s="11"/>
      <c r="N13" s="11"/>
      <c r="O13" s="11"/>
      <c r="P13" s="11"/>
      <c r="Q13" s="11">
        <v>2057194</v>
      </c>
      <c r="R13" s="11">
        <v>4729982</v>
      </c>
      <c r="S13" s="11">
        <v>2901842</v>
      </c>
      <c r="T13" s="11"/>
      <c r="U13" s="11"/>
      <c r="V13" s="11"/>
      <c r="W13" s="11"/>
      <c r="X13" s="11"/>
      <c r="Y13" s="11"/>
      <c r="Z13" s="11">
        <v>2258174</v>
      </c>
      <c r="AA13" s="11">
        <v>2887659</v>
      </c>
      <c r="AB13" s="11">
        <f>73844-1263</f>
        <v>72581</v>
      </c>
      <c r="AC13" s="11">
        <f>SUM(B13:AB13)</f>
        <v>17152868</v>
      </c>
    </row>
    <row r="15" spans="1:29" x14ac:dyDescent="0.25">
      <c r="A15" s="29" t="s">
        <v>226</v>
      </c>
    </row>
    <row r="16" spans="1:29" x14ac:dyDescent="0.25">
      <c r="A16" s="1" t="s">
        <v>0</v>
      </c>
      <c r="B16" s="45" t="s">
        <v>1</v>
      </c>
      <c r="C16" s="45" t="s">
        <v>2</v>
      </c>
      <c r="D16" s="45" t="s">
        <v>3</v>
      </c>
      <c r="E16" s="45" t="s">
        <v>4</v>
      </c>
      <c r="F16" s="45" t="s">
        <v>5</v>
      </c>
      <c r="G16" s="45" t="s">
        <v>6</v>
      </c>
      <c r="H16" s="45" t="s">
        <v>7</v>
      </c>
      <c r="I16" s="45" t="s">
        <v>8</v>
      </c>
      <c r="J16" s="45" t="s">
        <v>10</v>
      </c>
      <c r="K16" s="45" t="s">
        <v>11</v>
      </c>
      <c r="L16" s="45" t="s">
        <v>12</v>
      </c>
      <c r="M16" s="45" t="s">
        <v>13</v>
      </c>
      <c r="N16" s="45" t="s">
        <v>14</v>
      </c>
      <c r="O16" s="45" t="s">
        <v>15</v>
      </c>
      <c r="P16" s="45" t="s">
        <v>16</v>
      </c>
      <c r="Q16" s="45" t="s">
        <v>17</v>
      </c>
      <c r="R16" s="45" t="s">
        <v>18</v>
      </c>
      <c r="S16" s="45" t="s">
        <v>19</v>
      </c>
      <c r="T16" s="45" t="s">
        <v>20</v>
      </c>
      <c r="U16" s="45" t="s">
        <v>22</v>
      </c>
      <c r="V16" s="45" t="s">
        <v>23</v>
      </c>
      <c r="W16" s="45" t="s">
        <v>24</v>
      </c>
      <c r="X16" s="45" t="s">
        <v>25</v>
      </c>
      <c r="Y16" s="45" t="s">
        <v>26</v>
      </c>
      <c r="Z16" s="45" t="s">
        <v>27</v>
      </c>
      <c r="AA16" s="46" t="s">
        <v>28</v>
      </c>
      <c r="AB16" s="45" t="s">
        <v>29</v>
      </c>
      <c r="AC16" s="45" t="s">
        <v>30</v>
      </c>
    </row>
    <row r="17" spans="1:29" x14ac:dyDescent="0.25">
      <c r="A17" s="11" t="s">
        <v>277</v>
      </c>
      <c r="B17" s="11"/>
      <c r="C17" s="11"/>
      <c r="D17" s="11"/>
      <c r="E17" s="11"/>
      <c r="F17" s="11"/>
      <c r="G17" s="11"/>
      <c r="H17" s="11"/>
      <c r="I17" s="11"/>
      <c r="J17" s="11"/>
      <c r="K17" s="11">
        <v>41498101</v>
      </c>
      <c r="L17" s="11"/>
      <c r="M17" s="11">
        <v>36232</v>
      </c>
      <c r="N17" s="11"/>
      <c r="O17" s="11"/>
      <c r="P17" s="11"/>
      <c r="Q17" s="11"/>
      <c r="R17" s="11">
        <v>74289960</v>
      </c>
      <c r="S17" s="11">
        <v>33344137</v>
      </c>
      <c r="T17" s="11"/>
      <c r="U17" s="11"/>
      <c r="V17" s="11"/>
      <c r="W17" s="11"/>
      <c r="X17" s="11"/>
      <c r="Y17" s="11"/>
      <c r="Z17" s="11">
        <v>14113614</v>
      </c>
      <c r="AA17" s="11">
        <v>47285442</v>
      </c>
      <c r="AB17" s="11">
        <f>1955163+1202510</f>
        <v>3157673</v>
      </c>
      <c r="AC17" s="11">
        <f>SUM(B17:AB17)</f>
        <v>213725159</v>
      </c>
    </row>
    <row r="18" spans="1:29" x14ac:dyDescent="0.25">
      <c r="A18" s="11" t="s">
        <v>237</v>
      </c>
      <c r="B18" s="11"/>
      <c r="C18" s="11"/>
      <c r="D18" s="11"/>
      <c r="E18" s="11"/>
      <c r="F18" s="11"/>
      <c r="G18" s="11"/>
      <c r="H18" s="11"/>
      <c r="I18" s="11"/>
      <c r="J18" s="11"/>
      <c r="K18" s="11">
        <v>30112234</v>
      </c>
      <c r="L18" s="11"/>
      <c r="M18" s="11">
        <v>32216</v>
      </c>
      <c r="N18" s="11"/>
      <c r="O18" s="11"/>
      <c r="P18" s="11"/>
      <c r="Q18" s="11"/>
      <c r="R18" s="11">
        <v>69961856</v>
      </c>
      <c r="S18" s="11">
        <v>31628564</v>
      </c>
      <c r="T18" s="11"/>
      <c r="U18" s="11"/>
      <c r="V18" s="11"/>
      <c r="W18" s="11"/>
      <c r="X18" s="11"/>
      <c r="Y18" s="11"/>
      <c r="Z18" s="11">
        <v>13277010</v>
      </c>
      <c r="AA18" s="11">
        <v>44410189</v>
      </c>
      <c r="AB18" s="11">
        <f>1580481+919685</f>
        <v>2500166</v>
      </c>
      <c r="AC18" s="11">
        <f>SUM(B18:AB18)</f>
        <v>191922235</v>
      </c>
    </row>
    <row r="19" spans="1:29" x14ac:dyDescent="0.25">
      <c r="A19" s="11" t="s">
        <v>238</v>
      </c>
      <c r="B19" s="11"/>
      <c r="C19" s="11"/>
      <c r="D19" s="11"/>
      <c r="E19" s="11"/>
      <c r="F19" s="11"/>
      <c r="G19" s="11"/>
      <c r="H19" s="11"/>
      <c r="I19" s="11"/>
      <c r="J19" s="11"/>
      <c r="K19" s="11">
        <v>29590200</v>
      </c>
      <c r="L19" s="11"/>
      <c r="M19" s="11">
        <v>570</v>
      </c>
      <c r="N19" s="11"/>
      <c r="O19" s="11"/>
      <c r="P19" s="11"/>
      <c r="Q19" s="11"/>
      <c r="R19" s="11">
        <v>64999969</v>
      </c>
      <c r="S19" s="11">
        <v>29594438</v>
      </c>
      <c r="T19" s="11"/>
      <c r="U19" s="11"/>
      <c r="V19" s="11"/>
      <c r="W19" s="11"/>
      <c r="X19" s="11"/>
      <c r="Y19" s="11"/>
      <c r="Z19" s="11">
        <v>12727306</v>
      </c>
      <c r="AA19" s="11">
        <v>41728131</v>
      </c>
      <c r="AB19" s="11">
        <f>1592730+938188</f>
        <v>2530918</v>
      </c>
      <c r="AC19" s="11">
        <f>SUM(B19:AB19)</f>
        <v>181171532</v>
      </c>
    </row>
    <row r="21" spans="1:29" x14ac:dyDescent="0.25">
      <c r="A21" s="29" t="s">
        <v>227</v>
      </c>
    </row>
    <row r="22" spans="1:29" x14ac:dyDescent="0.25">
      <c r="A22" s="1" t="s">
        <v>0</v>
      </c>
      <c r="B22" s="45" t="s">
        <v>1</v>
      </c>
      <c r="C22" s="45" t="s">
        <v>2</v>
      </c>
      <c r="D22" s="45" t="s">
        <v>3</v>
      </c>
      <c r="E22" s="45" t="s">
        <v>4</v>
      </c>
      <c r="F22" s="45" t="s">
        <v>5</v>
      </c>
      <c r="G22" s="45" t="s">
        <v>6</v>
      </c>
      <c r="H22" s="45" t="s">
        <v>7</v>
      </c>
      <c r="I22" s="45" t="s">
        <v>8</v>
      </c>
      <c r="J22" s="45" t="s">
        <v>10</v>
      </c>
      <c r="K22" s="45" t="s">
        <v>11</v>
      </c>
      <c r="L22" s="45" t="s">
        <v>12</v>
      </c>
      <c r="M22" s="45" t="s">
        <v>13</v>
      </c>
      <c r="N22" s="45" t="s">
        <v>14</v>
      </c>
      <c r="O22" s="45" t="s">
        <v>15</v>
      </c>
      <c r="P22" s="45" t="s">
        <v>16</v>
      </c>
      <c r="Q22" s="45" t="s">
        <v>17</v>
      </c>
      <c r="R22" s="45" t="s">
        <v>18</v>
      </c>
      <c r="S22" s="45" t="s">
        <v>19</v>
      </c>
      <c r="T22" s="45" t="s">
        <v>20</v>
      </c>
      <c r="U22" s="45" t="s">
        <v>22</v>
      </c>
      <c r="V22" s="45" t="s">
        <v>23</v>
      </c>
      <c r="W22" s="45" t="s">
        <v>24</v>
      </c>
      <c r="X22" s="45" t="s">
        <v>25</v>
      </c>
      <c r="Y22" s="45" t="s">
        <v>26</v>
      </c>
      <c r="Z22" s="45" t="s">
        <v>27</v>
      </c>
      <c r="AA22" s="46" t="s">
        <v>28</v>
      </c>
      <c r="AB22" s="45" t="s">
        <v>29</v>
      </c>
      <c r="AC22" s="45" t="s">
        <v>30</v>
      </c>
    </row>
    <row r="23" spans="1:29" x14ac:dyDescent="0.25">
      <c r="A23" s="11" t="s">
        <v>277</v>
      </c>
      <c r="B23" s="11"/>
      <c r="C23" s="11"/>
      <c r="D23" s="11"/>
      <c r="E23" s="11"/>
      <c r="F23" s="11"/>
      <c r="G23" s="11"/>
      <c r="H23" s="11"/>
      <c r="I23" s="11"/>
      <c r="J23" s="11"/>
      <c r="K23" s="11">
        <v>1983358</v>
      </c>
      <c r="L23" s="11"/>
      <c r="M23" s="11"/>
      <c r="N23" s="11"/>
      <c r="O23" s="11"/>
      <c r="P23" s="11"/>
      <c r="Q23" s="11"/>
      <c r="R23" s="11">
        <v>5812046</v>
      </c>
      <c r="S23" s="11">
        <v>3316409</v>
      </c>
      <c r="T23" s="11"/>
      <c r="U23" s="11"/>
      <c r="V23" s="11"/>
      <c r="W23" s="11"/>
      <c r="X23" s="11"/>
      <c r="Y23" s="11"/>
      <c r="Z23" s="11">
        <v>790111</v>
      </c>
      <c r="AA23" s="11">
        <v>5172360</v>
      </c>
      <c r="AB23" s="11">
        <v>199767</v>
      </c>
      <c r="AC23" s="11">
        <f>SUM(B23:AB23)</f>
        <v>17274051</v>
      </c>
    </row>
    <row r="24" spans="1:29" x14ac:dyDescent="0.25">
      <c r="A24" s="11" t="s">
        <v>237</v>
      </c>
      <c r="B24" s="11"/>
      <c r="C24" s="11"/>
      <c r="D24" s="11"/>
      <c r="E24" s="11"/>
      <c r="F24" s="11"/>
      <c r="G24" s="11"/>
      <c r="H24" s="11"/>
      <c r="I24" s="11"/>
      <c r="J24" s="11"/>
      <c r="K24" s="11">
        <v>515509</v>
      </c>
      <c r="L24" s="11"/>
      <c r="M24" s="11"/>
      <c r="N24" s="11"/>
      <c r="O24" s="11"/>
      <c r="P24" s="11"/>
      <c r="Q24" s="11"/>
      <c r="R24" s="11">
        <v>3373491</v>
      </c>
      <c r="S24" s="11">
        <v>2579787</v>
      </c>
      <c r="T24" s="11"/>
      <c r="U24" s="11"/>
      <c r="V24" s="11"/>
      <c r="W24" s="11"/>
      <c r="X24" s="11"/>
      <c r="Y24" s="11"/>
      <c r="Z24" s="11">
        <v>63267</v>
      </c>
      <c r="AA24" s="11">
        <v>2972453</v>
      </c>
      <c r="AB24" s="11">
        <v>25487</v>
      </c>
      <c r="AC24" s="11">
        <f>SUM(B24:AB24)</f>
        <v>9529994</v>
      </c>
    </row>
    <row r="25" spans="1:29" x14ac:dyDescent="0.25">
      <c r="A25" s="11" t="s">
        <v>238</v>
      </c>
      <c r="B25" s="11"/>
      <c r="C25" s="11"/>
      <c r="D25" s="11"/>
      <c r="E25" s="11"/>
      <c r="F25" s="11"/>
      <c r="G25" s="11"/>
      <c r="H25" s="11"/>
      <c r="I25" s="11"/>
      <c r="J25" s="11"/>
      <c r="K25" s="11">
        <v>582798</v>
      </c>
      <c r="L25" s="11"/>
      <c r="M25" s="11"/>
      <c r="N25" s="11"/>
      <c r="O25" s="11"/>
      <c r="P25" s="11"/>
      <c r="Q25" s="11"/>
      <c r="R25" s="11">
        <v>3412088</v>
      </c>
      <c r="S25" s="11">
        <v>2525603</v>
      </c>
      <c r="T25" s="11"/>
      <c r="U25" s="11"/>
      <c r="V25" s="11"/>
      <c r="W25" s="11"/>
      <c r="X25" s="11"/>
      <c r="Y25" s="11"/>
      <c r="Z25" s="11">
        <v>63286</v>
      </c>
      <c r="AA25" s="11">
        <v>2884655</v>
      </c>
      <c r="AB25" s="11">
        <v>64738</v>
      </c>
      <c r="AC25" s="11">
        <f>SUM(B25:AB25)</f>
        <v>9533168</v>
      </c>
    </row>
    <row r="27" spans="1:29" x14ac:dyDescent="0.25">
      <c r="A27" s="29" t="s">
        <v>228</v>
      </c>
    </row>
    <row r="28" spans="1:29" x14ac:dyDescent="0.25">
      <c r="A28" s="1" t="s">
        <v>0</v>
      </c>
      <c r="B28" s="45" t="s">
        <v>1</v>
      </c>
      <c r="C28" s="45" t="s">
        <v>2</v>
      </c>
      <c r="D28" s="45" t="s">
        <v>3</v>
      </c>
      <c r="E28" s="45" t="s">
        <v>4</v>
      </c>
      <c r="F28" s="45" t="s">
        <v>5</v>
      </c>
      <c r="G28" s="45" t="s">
        <v>6</v>
      </c>
      <c r="H28" s="45" t="s">
        <v>7</v>
      </c>
      <c r="I28" s="45" t="s">
        <v>8</v>
      </c>
      <c r="J28" s="45" t="s">
        <v>10</v>
      </c>
      <c r="K28" s="45" t="s">
        <v>11</v>
      </c>
      <c r="L28" s="45" t="s">
        <v>12</v>
      </c>
      <c r="M28" s="45" t="s">
        <v>13</v>
      </c>
      <c r="N28" s="45" t="s">
        <v>14</v>
      </c>
      <c r="O28" s="45" t="s">
        <v>15</v>
      </c>
      <c r="P28" s="45" t="s">
        <v>16</v>
      </c>
      <c r="Q28" s="45" t="s">
        <v>17</v>
      </c>
      <c r="R28" s="45" t="s">
        <v>18</v>
      </c>
      <c r="S28" s="45" t="s">
        <v>19</v>
      </c>
      <c r="T28" s="45" t="s">
        <v>20</v>
      </c>
      <c r="U28" s="45" t="s">
        <v>22</v>
      </c>
      <c r="V28" s="45" t="s">
        <v>23</v>
      </c>
      <c r="W28" s="45" t="s">
        <v>24</v>
      </c>
      <c r="X28" s="45" t="s">
        <v>25</v>
      </c>
      <c r="Y28" s="45" t="s">
        <v>26</v>
      </c>
      <c r="Z28" s="45" t="s">
        <v>27</v>
      </c>
      <c r="AA28" s="46" t="s">
        <v>28</v>
      </c>
      <c r="AB28" s="45" t="s">
        <v>29</v>
      </c>
      <c r="AC28" s="45" t="s">
        <v>30</v>
      </c>
    </row>
    <row r="29" spans="1:29" x14ac:dyDescent="0.25">
      <c r="A29" s="11" t="s">
        <v>277</v>
      </c>
      <c r="B29" s="11"/>
      <c r="C29" s="11"/>
      <c r="D29" s="11"/>
      <c r="E29" s="11"/>
      <c r="F29" s="11"/>
      <c r="G29" s="11"/>
      <c r="H29" s="11"/>
      <c r="I29" s="11"/>
      <c r="J29" s="11"/>
      <c r="K29" s="11">
        <v>13842739</v>
      </c>
      <c r="L29" s="11"/>
      <c r="M29" s="11">
        <v>857</v>
      </c>
      <c r="N29" s="11"/>
      <c r="O29" s="11"/>
      <c r="P29" s="11">
        <v>4755521</v>
      </c>
      <c r="Q29" s="11"/>
      <c r="R29" s="11">
        <v>49613316</v>
      </c>
      <c r="S29" s="11">
        <v>26159853</v>
      </c>
      <c r="T29" s="11"/>
      <c r="U29" s="11"/>
      <c r="V29" s="11"/>
      <c r="W29" s="11"/>
      <c r="X29" s="11"/>
      <c r="Y29" s="11"/>
      <c r="Z29" s="11">
        <v>2691895</v>
      </c>
      <c r="AA29" s="11">
        <v>41229941</v>
      </c>
      <c r="AB29" s="11">
        <v>1338745</v>
      </c>
      <c r="AC29" s="11">
        <f>SUM(B29:AB29)</f>
        <v>139632867</v>
      </c>
    </row>
    <row r="30" spans="1:29" x14ac:dyDescent="0.25">
      <c r="A30" s="11" t="s">
        <v>237</v>
      </c>
      <c r="B30" s="11"/>
      <c r="C30" s="11"/>
      <c r="D30" s="11"/>
      <c r="E30" s="11"/>
      <c r="F30" s="11"/>
      <c r="G30" s="11"/>
      <c r="H30" s="11"/>
      <c r="I30" s="11"/>
      <c r="J30" s="11"/>
      <c r="K30" s="11">
        <v>7936179</v>
      </c>
      <c r="L30" s="11"/>
      <c r="M30" s="11">
        <v>814</v>
      </c>
      <c r="N30" s="11"/>
      <c r="O30" s="11"/>
      <c r="P30" s="11">
        <v>4512797</v>
      </c>
      <c r="Q30" s="11"/>
      <c r="R30" s="11">
        <v>46650315</v>
      </c>
      <c r="S30" s="11">
        <v>24852951</v>
      </c>
      <c r="T30" s="11"/>
      <c r="U30" s="11"/>
      <c r="V30" s="11"/>
      <c r="W30" s="11"/>
      <c r="X30" s="11"/>
      <c r="Y30" s="11"/>
      <c r="Z30" s="11">
        <v>2596091</v>
      </c>
      <c r="AA30" s="11">
        <v>39168267</v>
      </c>
      <c r="AB30" s="11">
        <v>1297574</v>
      </c>
      <c r="AC30" s="11">
        <f>SUM(B30:AB30)</f>
        <v>127014988</v>
      </c>
    </row>
    <row r="31" spans="1:29" x14ac:dyDescent="0.25">
      <c r="A31" s="11" t="s">
        <v>238</v>
      </c>
      <c r="B31" s="11"/>
      <c r="C31" s="11"/>
      <c r="D31" s="11"/>
      <c r="E31" s="11"/>
      <c r="F31" s="11"/>
      <c r="G31" s="11"/>
      <c r="H31" s="11"/>
      <c r="I31" s="11"/>
      <c r="J31" s="11"/>
      <c r="K31" s="11">
        <v>9349219</v>
      </c>
      <c r="L31" s="11"/>
      <c r="M31" s="11">
        <v>35</v>
      </c>
      <c r="N31" s="11"/>
      <c r="O31" s="11"/>
      <c r="P31" s="11">
        <v>3928684</v>
      </c>
      <c r="Q31" s="11"/>
      <c r="R31" s="11">
        <v>42418145</v>
      </c>
      <c r="S31" s="11">
        <v>22183816</v>
      </c>
      <c r="T31" s="11"/>
      <c r="U31" s="11"/>
      <c r="V31" s="11"/>
      <c r="W31" s="11"/>
      <c r="X31" s="11"/>
      <c r="Y31" s="11"/>
      <c r="Z31" s="11">
        <v>2493324</v>
      </c>
      <c r="AA31" s="11">
        <v>35479052</v>
      </c>
      <c r="AB31" s="11">
        <v>1286130</v>
      </c>
      <c r="AC31" s="11">
        <f>SUM(B31:AB31)</f>
        <v>117138405</v>
      </c>
    </row>
    <row r="33" spans="1:29" x14ac:dyDescent="0.25">
      <c r="A33" s="29" t="s">
        <v>229</v>
      </c>
    </row>
    <row r="34" spans="1:29" x14ac:dyDescent="0.25">
      <c r="A34" s="1" t="s">
        <v>0</v>
      </c>
      <c r="B34" s="45" t="s">
        <v>1</v>
      </c>
      <c r="C34" s="45" t="s">
        <v>2</v>
      </c>
      <c r="D34" s="45" t="s">
        <v>3</v>
      </c>
      <c r="E34" s="45" t="s">
        <v>4</v>
      </c>
      <c r="F34" s="45" t="s">
        <v>5</v>
      </c>
      <c r="G34" s="45" t="s">
        <v>6</v>
      </c>
      <c r="H34" s="45" t="s">
        <v>7</v>
      </c>
      <c r="I34" s="45" t="s">
        <v>8</v>
      </c>
      <c r="J34" s="45" t="s">
        <v>10</v>
      </c>
      <c r="K34" s="45" t="s">
        <v>11</v>
      </c>
      <c r="L34" s="45" t="s">
        <v>12</v>
      </c>
      <c r="M34" s="45" t="s">
        <v>13</v>
      </c>
      <c r="N34" s="45" t="s">
        <v>14</v>
      </c>
      <c r="O34" s="45" t="s">
        <v>15</v>
      </c>
      <c r="P34" s="45" t="s">
        <v>16</v>
      </c>
      <c r="Q34" s="45" t="s">
        <v>17</v>
      </c>
      <c r="R34" s="45" t="s">
        <v>18</v>
      </c>
      <c r="S34" s="45" t="s">
        <v>19</v>
      </c>
      <c r="T34" s="45" t="s">
        <v>20</v>
      </c>
      <c r="U34" s="45" t="s">
        <v>22</v>
      </c>
      <c r="V34" s="45" t="s">
        <v>23</v>
      </c>
      <c r="W34" s="45" t="s">
        <v>24</v>
      </c>
      <c r="X34" s="45" t="s">
        <v>25</v>
      </c>
      <c r="Y34" s="45" t="s">
        <v>26</v>
      </c>
      <c r="Z34" s="45" t="s">
        <v>27</v>
      </c>
      <c r="AA34" s="46" t="s">
        <v>28</v>
      </c>
      <c r="AB34" s="45" t="s">
        <v>29</v>
      </c>
      <c r="AC34" s="45" t="s">
        <v>30</v>
      </c>
    </row>
    <row r="35" spans="1:29" x14ac:dyDescent="0.25">
      <c r="A35" s="11" t="s">
        <v>277</v>
      </c>
      <c r="B35" s="11"/>
      <c r="C35" s="11"/>
      <c r="D35" s="11"/>
      <c r="E35" s="11"/>
      <c r="F35" s="11"/>
      <c r="G35" s="11"/>
      <c r="H35" s="11"/>
      <c r="I35" s="11"/>
      <c r="J35" s="11"/>
      <c r="K35" s="11">
        <v>2785635</v>
      </c>
      <c r="L35" s="11"/>
      <c r="M35" s="11"/>
      <c r="N35" s="11"/>
      <c r="O35" s="11"/>
      <c r="P35" s="11">
        <v>4571</v>
      </c>
      <c r="Q35" s="11"/>
      <c r="R35" s="11">
        <v>2291549</v>
      </c>
      <c r="S35" s="11">
        <v>1650926</v>
      </c>
      <c r="T35" s="11"/>
      <c r="U35" s="11"/>
      <c r="V35" s="11"/>
      <c r="W35" s="11"/>
      <c r="X35" s="11"/>
      <c r="Y35" s="11"/>
      <c r="Z35" s="11">
        <v>1292116</v>
      </c>
      <c r="AA35" s="11">
        <v>2552900</v>
      </c>
      <c r="AB35" s="11">
        <v>145756</v>
      </c>
      <c r="AC35" s="11">
        <f>SUM(B35:AB35)</f>
        <v>10723453</v>
      </c>
    </row>
    <row r="36" spans="1:29" x14ac:dyDescent="0.25">
      <c r="A36" s="11" t="s">
        <v>237</v>
      </c>
      <c r="B36" s="11"/>
      <c r="C36" s="11"/>
      <c r="D36" s="11"/>
      <c r="E36" s="11"/>
      <c r="F36" s="11"/>
      <c r="G36" s="11"/>
      <c r="H36" s="11"/>
      <c r="I36" s="11"/>
      <c r="J36" s="11"/>
      <c r="K36" s="11">
        <v>1212240</v>
      </c>
      <c r="L36" s="11"/>
      <c r="M36" s="11"/>
      <c r="N36" s="11"/>
      <c r="O36" s="11"/>
      <c r="P36" s="11">
        <v>2731</v>
      </c>
      <c r="Q36" s="11"/>
      <c r="R36" s="11">
        <v>2146414</v>
      </c>
      <c r="S36" s="11">
        <v>1501997</v>
      </c>
      <c r="T36" s="11"/>
      <c r="U36" s="11"/>
      <c r="V36" s="11"/>
      <c r="W36" s="11"/>
      <c r="X36" s="11"/>
      <c r="Y36" s="11"/>
      <c r="Z36" s="11">
        <v>1158430</v>
      </c>
      <c r="AA36" s="11">
        <v>2168197</v>
      </c>
      <c r="AB36" s="11">
        <v>81907</v>
      </c>
      <c r="AC36" s="11">
        <f>SUM(B36:AB36)</f>
        <v>8271916</v>
      </c>
    </row>
    <row r="37" spans="1:29" x14ac:dyDescent="0.25">
      <c r="A37" s="11" t="s">
        <v>238</v>
      </c>
      <c r="B37" s="11"/>
      <c r="C37" s="11"/>
      <c r="D37" s="11"/>
      <c r="E37" s="11"/>
      <c r="F37" s="11"/>
      <c r="G37" s="11"/>
      <c r="H37" s="11"/>
      <c r="I37" s="11"/>
      <c r="J37" s="11"/>
      <c r="K37" s="11">
        <v>1396738</v>
      </c>
      <c r="L37" s="11"/>
      <c r="M37" s="11"/>
      <c r="N37" s="11"/>
      <c r="O37" s="11"/>
      <c r="P37" s="11">
        <v>2411</v>
      </c>
      <c r="Q37" s="11"/>
      <c r="R37" s="11">
        <v>2086314</v>
      </c>
      <c r="S37" s="11">
        <v>1412219</v>
      </c>
      <c r="T37" s="11"/>
      <c r="U37" s="11"/>
      <c r="V37" s="11"/>
      <c r="W37" s="11"/>
      <c r="X37" s="11"/>
      <c r="Y37" s="11"/>
      <c r="Z37" s="11">
        <v>1232490</v>
      </c>
      <c r="AA37" s="11">
        <v>2033061</v>
      </c>
      <c r="AB37" s="11">
        <v>86927</v>
      </c>
      <c r="AC37" s="11">
        <f>SUM(B37:AB37)</f>
        <v>8250160</v>
      </c>
    </row>
    <row r="39" spans="1:29" x14ac:dyDescent="0.25">
      <c r="A39" s="29" t="s">
        <v>230</v>
      </c>
    </row>
    <row r="40" spans="1:29" x14ac:dyDescent="0.25">
      <c r="A40" s="1" t="s">
        <v>0</v>
      </c>
      <c r="B40" s="45" t="s">
        <v>1</v>
      </c>
      <c r="C40" s="45" t="s">
        <v>2</v>
      </c>
      <c r="D40" s="45" t="s">
        <v>3</v>
      </c>
      <c r="E40" s="45" t="s">
        <v>4</v>
      </c>
      <c r="F40" s="45" t="s">
        <v>5</v>
      </c>
      <c r="G40" s="45" t="s">
        <v>6</v>
      </c>
      <c r="H40" s="45" t="s">
        <v>7</v>
      </c>
      <c r="I40" s="45" t="s">
        <v>8</v>
      </c>
      <c r="J40" s="45" t="s">
        <v>10</v>
      </c>
      <c r="K40" s="45" t="s">
        <v>11</v>
      </c>
      <c r="L40" s="45" t="s">
        <v>12</v>
      </c>
      <c r="M40" s="45" t="s">
        <v>13</v>
      </c>
      <c r="N40" s="45" t="s">
        <v>14</v>
      </c>
      <c r="O40" s="45" t="s">
        <v>15</v>
      </c>
      <c r="P40" s="45" t="s">
        <v>16</v>
      </c>
      <c r="Q40" s="45" t="s">
        <v>17</v>
      </c>
      <c r="R40" s="45" t="s">
        <v>18</v>
      </c>
      <c r="S40" s="45" t="s">
        <v>19</v>
      </c>
      <c r="T40" s="45" t="s">
        <v>20</v>
      </c>
      <c r="U40" s="45" t="s">
        <v>22</v>
      </c>
      <c r="V40" s="45" t="s">
        <v>23</v>
      </c>
      <c r="W40" s="45" t="s">
        <v>24</v>
      </c>
      <c r="X40" s="45" t="s">
        <v>25</v>
      </c>
      <c r="Y40" s="45" t="s">
        <v>26</v>
      </c>
      <c r="Z40" s="45" t="s">
        <v>27</v>
      </c>
      <c r="AA40" s="46" t="s">
        <v>28</v>
      </c>
      <c r="AB40" s="45" t="s">
        <v>29</v>
      </c>
      <c r="AC40" s="45" t="s">
        <v>30</v>
      </c>
    </row>
    <row r="41" spans="1:29" x14ac:dyDescent="0.25">
      <c r="A41" s="11" t="s">
        <v>277</v>
      </c>
      <c r="B41" s="11"/>
      <c r="C41" s="11"/>
      <c r="D41" s="11"/>
      <c r="E41" s="11"/>
      <c r="F41" s="11"/>
      <c r="G41" s="11"/>
      <c r="H41" s="11"/>
      <c r="I41" s="11"/>
      <c r="J41" s="11"/>
      <c r="K41" s="11">
        <v>117129</v>
      </c>
      <c r="L41" s="11"/>
      <c r="M41" s="11"/>
      <c r="N41" s="11"/>
      <c r="O41" s="11"/>
      <c r="P41" s="11"/>
      <c r="Q41" s="11"/>
      <c r="R41" s="11">
        <v>4465404</v>
      </c>
      <c r="S41" s="11">
        <v>545086</v>
      </c>
      <c r="T41" s="11"/>
      <c r="U41" s="11"/>
      <c r="V41" s="11"/>
      <c r="W41" s="11"/>
      <c r="X41" s="11"/>
      <c r="Y41" s="11"/>
      <c r="Z41" s="11">
        <v>2487911</v>
      </c>
      <c r="AA41" s="11">
        <v>836953</v>
      </c>
      <c r="AB41" s="11">
        <v>5775</v>
      </c>
      <c r="AC41" s="11">
        <f>SUM(B41:AB41)</f>
        <v>8458258</v>
      </c>
    </row>
    <row r="42" spans="1:29" x14ac:dyDescent="0.25">
      <c r="A42" s="11" t="s">
        <v>237</v>
      </c>
      <c r="B42" s="11"/>
      <c r="C42" s="11"/>
      <c r="D42" s="11"/>
      <c r="E42" s="11"/>
      <c r="F42" s="11"/>
      <c r="G42" s="11"/>
      <c r="H42" s="11"/>
      <c r="I42" s="11"/>
      <c r="J42" s="11"/>
      <c r="K42" s="11">
        <v>-4944</v>
      </c>
      <c r="L42" s="11"/>
      <c r="M42" s="11"/>
      <c r="N42" s="11"/>
      <c r="O42" s="11"/>
      <c r="P42" s="11"/>
      <c r="Q42" s="11"/>
      <c r="R42" s="11">
        <v>3863895</v>
      </c>
      <c r="S42" s="11">
        <v>473494</v>
      </c>
      <c r="T42" s="11"/>
      <c r="U42" s="11"/>
      <c r="V42" s="11"/>
      <c r="W42" s="11"/>
      <c r="X42" s="11"/>
      <c r="Y42" s="11"/>
      <c r="Z42" s="11">
        <v>1167606</v>
      </c>
      <c r="AA42" s="11">
        <v>602043</v>
      </c>
      <c r="AB42" s="11">
        <v>-7</v>
      </c>
      <c r="AC42" s="11">
        <f>SUM(B42:AB42)</f>
        <v>6102087</v>
      </c>
    </row>
    <row r="43" spans="1:29" x14ac:dyDescent="0.25">
      <c r="A43" s="11" t="s">
        <v>238</v>
      </c>
      <c r="B43" s="11"/>
      <c r="C43" s="11"/>
      <c r="D43" s="11"/>
      <c r="E43" s="11"/>
      <c r="F43" s="11"/>
      <c r="G43" s="11"/>
      <c r="H43" s="11"/>
      <c r="I43" s="11"/>
      <c r="J43" s="11"/>
      <c r="K43" s="11">
        <v>38195</v>
      </c>
      <c r="L43" s="11"/>
      <c r="M43" s="11"/>
      <c r="N43" s="11"/>
      <c r="O43" s="11"/>
      <c r="P43" s="11"/>
      <c r="Q43" s="11"/>
      <c r="R43" s="11">
        <v>3787316</v>
      </c>
      <c r="S43" s="11">
        <v>449172</v>
      </c>
      <c r="T43" s="11"/>
      <c r="U43" s="11"/>
      <c r="V43" s="11"/>
      <c r="W43" s="11"/>
      <c r="X43" s="11"/>
      <c r="Y43" s="11"/>
      <c r="Z43" s="11">
        <v>1025539</v>
      </c>
      <c r="AA43" s="11">
        <v>591479</v>
      </c>
      <c r="AB43" s="11">
        <v>-13</v>
      </c>
      <c r="AC43" s="11">
        <f>SUM(B43:AB43)</f>
        <v>5891688</v>
      </c>
    </row>
    <row r="45" spans="1:29" x14ac:dyDescent="0.25">
      <c r="A45" s="29" t="s">
        <v>231</v>
      </c>
    </row>
    <row r="46" spans="1:29" x14ac:dyDescent="0.25">
      <c r="A46" s="1" t="s">
        <v>0</v>
      </c>
      <c r="B46" s="45" t="s">
        <v>1</v>
      </c>
      <c r="C46" s="45" t="s">
        <v>2</v>
      </c>
      <c r="D46" s="45" t="s">
        <v>3</v>
      </c>
      <c r="E46" s="45" t="s">
        <v>4</v>
      </c>
      <c r="F46" s="45" t="s">
        <v>5</v>
      </c>
      <c r="G46" s="45" t="s">
        <v>6</v>
      </c>
      <c r="H46" s="45" t="s">
        <v>7</v>
      </c>
      <c r="I46" s="45" t="s">
        <v>8</v>
      </c>
      <c r="J46" s="45" t="s">
        <v>10</v>
      </c>
      <c r="K46" s="45" t="s">
        <v>11</v>
      </c>
      <c r="L46" s="45" t="s">
        <v>12</v>
      </c>
      <c r="M46" s="45" t="s">
        <v>13</v>
      </c>
      <c r="N46" s="45" t="s">
        <v>14</v>
      </c>
      <c r="O46" s="45" t="s">
        <v>15</v>
      </c>
      <c r="P46" s="45" t="s">
        <v>16</v>
      </c>
      <c r="Q46" s="45" t="s">
        <v>17</v>
      </c>
      <c r="R46" s="45" t="s">
        <v>18</v>
      </c>
      <c r="S46" s="45" t="s">
        <v>19</v>
      </c>
      <c r="T46" s="45" t="s">
        <v>20</v>
      </c>
      <c r="U46" s="45" t="s">
        <v>22</v>
      </c>
      <c r="V46" s="45" t="s">
        <v>23</v>
      </c>
      <c r="W46" s="45" t="s">
        <v>24</v>
      </c>
      <c r="X46" s="45" t="s">
        <v>25</v>
      </c>
      <c r="Y46" s="45" t="s">
        <v>26</v>
      </c>
      <c r="Z46" s="45" t="s">
        <v>27</v>
      </c>
      <c r="AA46" s="46" t="s">
        <v>28</v>
      </c>
      <c r="AB46" s="45" t="s">
        <v>29</v>
      </c>
      <c r="AC46" s="45" t="s">
        <v>30</v>
      </c>
    </row>
    <row r="47" spans="1:29" x14ac:dyDescent="0.25">
      <c r="A47" s="11" t="s">
        <v>277</v>
      </c>
      <c r="B47" s="11"/>
      <c r="C47" s="11"/>
      <c r="D47" s="11"/>
      <c r="E47" s="11"/>
      <c r="F47" s="11"/>
      <c r="G47" s="11"/>
      <c r="H47" s="11"/>
      <c r="I47" s="11"/>
      <c r="J47" s="11"/>
      <c r="K47" s="11">
        <v>517273</v>
      </c>
      <c r="L47" s="11"/>
      <c r="M47" s="11"/>
      <c r="N47" s="11"/>
      <c r="O47" s="11"/>
      <c r="P47" s="11"/>
      <c r="Q47" s="11"/>
      <c r="R47" s="11">
        <v>1145599</v>
      </c>
      <c r="S47" s="11">
        <v>972539</v>
      </c>
      <c r="T47" s="11"/>
      <c r="U47" s="11"/>
      <c r="V47" s="11"/>
      <c r="W47" s="11"/>
      <c r="X47" s="11"/>
      <c r="Y47" s="11"/>
      <c r="Z47" s="11">
        <v>21314</v>
      </c>
      <c r="AA47" s="11">
        <v>669777</v>
      </c>
      <c r="AB47" s="11"/>
      <c r="AC47" s="11">
        <f>SUM(B47:AB47)</f>
        <v>3326502</v>
      </c>
    </row>
    <row r="48" spans="1:29" x14ac:dyDescent="0.25">
      <c r="A48" s="11" t="s">
        <v>237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v>440448</v>
      </c>
      <c r="L48" s="11"/>
      <c r="M48" s="11"/>
      <c r="N48" s="11"/>
      <c r="O48" s="11"/>
      <c r="P48" s="11"/>
      <c r="Q48" s="11"/>
      <c r="R48" s="11">
        <v>736483</v>
      </c>
      <c r="S48" s="11">
        <v>188835</v>
      </c>
      <c r="T48" s="11"/>
      <c r="U48" s="11"/>
      <c r="V48" s="11"/>
      <c r="W48" s="11"/>
      <c r="X48" s="11"/>
      <c r="Y48" s="11"/>
      <c r="Z48" s="11">
        <v>71</v>
      </c>
      <c r="AA48" s="11">
        <v>-20390</v>
      </c>
      <c r="AB48" s="11"/>
      <c r="AC48" s="11">
        <f>SUM(B48:AB48)</f>
        <v>1345447</v>
      </c>
    </row>
    <row r="49" spans="1:29" x14ac:dyDescent="0.25">
      <c r="A49" s="11" t="s">
        <v>238</v>
      </c>
      <c r="B49" s="11"/>
      <c r="C49" s="11"/>
      <c r="D49" s="11"/>
      <c r="E49" s="11"/>
      <c r="F49" s="11"/>
      <c r="G49" s="11"/>
      <c r="H49" s="11"/>
      <c r="I49" s="11"/>
      <c r="J49" s="11"/>
      <c r="K49" s="11">
        <v>498148</v>
      </c>
      <c r="L49" s="11"/>
      <c r="M49" s="11"/>
      <c r="N49" s="11"/>
      <c r="O49" s="11"/>
      <c r="P49" s="11"/>
      <c r="Q49" s="11"/>
      <c r="R49" s="11">
        <v>706002</v>
      </c>
      <c r="S49" s="11">
        <v>225124</v>
      </c>
      <c r="T49" s="11"/>
      <c r="U49" s="11"/>
      <c r="V49" s="11"/>
      <c r="W49" s="11"/>
      <c r="X49" s="11"/>
      <c r="Y49" s="11"/>
      <c r="Z49" s="11">
        <v>65</v>
      </c>
      <c r="AA49" s="11">
        <v>3292</v>
      </c>
      <c r="AB49" s="11"/>
      <c r="AC49" s="11">
        <f>SUM(B49:AB49)</f>
        <v>1432631</v>
      </c>
    </row>
    <row r="51" spans="1:29" x14ac:dyDescent="0.25">
      <c r="A51" s="29" t="s">
        <v>232</v>
      </c>
    </row>
    <row r="52" spans="1:29" x14ac:dyDescent="0.25">
      <c r="A52" s="1" t="s">
        <v>0</v>
      </c>
      <c r="B52" s="45" t="s">
        <v>1</v>
      </c>
      <c r="C52" s="45" t="s">
        <v>2</v>
      </c>
      <c r="D52" s="45" t="s">
        <v>3</v>
      </c>
      <c r="E52" s="45" t="s">
        <v>4</v>
      </c>
      <c r="F52" s="45" t="s">
        <v>5</v>
      </c>
      <c r="G52" s="45" t="s">
        <v>6</v>
      </c>
      <c r="H52" s="45" t="s">
        <v>7</v>
      </c>
      <c r="I52" s="45" t="s">
        <v>8</v>
      </c>
      <c r="J52" s="45" t="s">
        <v>10</v>
      </c>
      <c r="K52" s="45" t="s">
        <v>11</v>
      </c>
      <c r="L52" s="45" t="s">
        <v>12</v>
      </c>
      <c r="M52" s="45" t="s">
        <v>13</v>
      </c>
      <c r="N52" s="45" t="s">
        <v>14</v>
      </c>
      <c r="O52" s="45" t="s">
        <v>15</v>
      </c>
      <c r="P52" s="45" t="s">
        <v>16</v>
      </c>
      <c r="Q52" s="45" t="s">
        <v>17</v>
      </c>
      <c r="R52" s="45" t="s">
        <v>18</v>
      </c>
      <c r="S52" s="45" t="s">
        <v>19</v>
      </c>
      <c r="T52" s="45" t="s">
        <v>20</v>
      </c>
      <c r="U52" s="45" t="s">
        <v>22</v>
      </c>
      <c r="V52" s="45" t="s">
        <v>23</v>
      </c>
      <c r="W52" s="45" t="s">
        <v>24</v>
      </c>
      <c r="X52" s="45" t="s">
        <v>25</v>
      </c>
      <c r="Y52" s="45" t="s">
        <v>26</v>
      </c>
      <c r="Z52" s="45" t="s">
        <v>27</v>
      </c>
      <c r="AA52" s="46" t="s">
        <v>28</v>
      </c>
      <c r="AB52" s="45" t="s">
        <v>29</v>
      </c>
      <c r="AC52" s="45" t="s">
        <v>30</v>
      </c>
    </row>
    <row r="53" spans="1:29" x14ac:dyDescent="0.25">
      <c r="A53" s="11" t="s">
        <v>277</v>
      </c>
      <c r="B53" s="11">
        <f t="shared" ref="B53:AB53" si="0">B59-B47-B41-B35-B29-B23-B17-B11-B5</f>
        <v>35212219</v>
      </c>
      <c r="C53" s="11">
        <f t="shared" si="0"/>
        <v>10221761</v>
      </c>
      <c r="D53" s="11">
        <f t="shared" si="0"/>
        <v>58321473</v>
      </c>
      <c r="E53" s="11">
        <f t="shared" si="0"/>
        <v>12744195</v>
      </c>
      <c r="F53" s="11">
        <f t="shared" si="0"/>
        <v>24520034</v>
      </c>
      <c r="G53" s="11">
        <f t="shared" si="0"/>
        <v>1438166</v>
      </c>
      <c r="H53" s="11">
        <f t="shared" si="0"/>
        <v>13207297.1</v>
      </c>
      <c r="I53" s="11">
        <f t="shared" si="0"/>
        <v>15552608</v>
      </c>
      <c r="J53" s="11">
        <f t="shared" si="0"/>
        <v>4733913</v>
      </c>
      <c r="K53" s="11">
        <f t="shared" si="0"/>
        <v>10837781</v>
      </c>
      <c r="L53" s="11">
        <f t="shared" si="0"/>
        <v>33086472</v>
      </c>
      <c r="M53" s="11">
        <f t="shared" si="0"/>
        <v>0</v>
      </c>
      <c r="N53" s="11">
        <f t="shared" si="0"/>
        <v>4087167</v>
      </c>
      <c r="O53" s="11">
        <f t="shared" si="0"/>
        <v>4039421</v>
      </c>
      <c r="P53" s="11">
        <f t="shared" si="0"/>
        <v>0</v>
      </c>
      <c r="Q53" s="11">
        <f t="shared" si="0"/>
        <v>108463450</v>
      </c>
      <c r="R53" s="11">
        <f t="shared" si="0"/>
        <v>7772197</v>
      </c>
      <c r="S53" s="11">
        <f t="shared" si="0"/>
        <v>5226158</v>
      </c>
      <c r="T53" s="11">
        <f t="shared" si="0"/>
        <v>287592</v>
      </c>
      <c r="U53" s="11">
        <f t="shared" si="0"/>
        <v>5033223</v>
      </c>
      <c r="V53" s="11">
        <f t="shared" si="0"/>
        <v>16941205</v>
      </c>
      <c r="W53" s="11">
        <f t="shared" si="0"/>
        <v>20398462</v>
      </c>
      <c r="X53" s="11">
        <f t="shared" si="0"/>
        <v>17122674</v>
      </c>
      <c r="Y53" s="11">
        <f t="shared" si="0"/>
        <v>20073425</v>
      </c>
      <c r="Z53" s="11">
        <f t="shared" si="0"/>
        <v>1684888</v>
      </c>
      <c r="AA53" s="11">
        <f t="shared" si="0"/>
        <v>7259594</v>
      </c>
      <c r="AB53" s="11">
        <f t="shared" si="0"/>
        <v>2711163</v>
      </c>
      <c r="AC53" s="11">
        <f>SUM(B53:AB53)</f>
        <v>440976538.10000002</v>
      </c>
    </row>
    <row r="54" spans="1:29" x14ac:dyDescent="0.25">
      <c r="A54" s="11" t="s">
        <v>237</v>
      </c>
      <c r="B54" s="11">
        <f t="shared" ref="B54:AB54" si="1">B60-B48-B42-B36-B30-B24-B18-B12-B6</f>
        <v>22280470</v>
      </c>
      <c r="C54" s="11">
        <f t="shared" si="1"/>
        <v>8639182</v>
      </c>
      <c r="D54" s="11">
        <f t="shared" si="1"/>
        <v>45723819</v>
      </c>
      <c r="E54" s="11">
        <f t="shared" si="1"/>
        <v>10971700</v>
      </c>
      <c r="F54" s="11">
        <f t="shared" si="1"/>
        <v>20575012</v>
      </c>
      <c r="G54" s="11">
        <f t="shared" si="1"/>
        <v>1346535</v>
      </c>
      <c r="H54" s="11">
        <f t="shared" si="1"/>
        <v>9034964.0999999996</v>
      </c>
      <c r="I54" s="11">
        <f t="shared" si="1"/>
        <v>10476482</v>
      </c>
      <c r="J54" s="11">
        <f t="shared" si="1"/>
        <v>3646100</v>
      </c>
      <c r="K54" s="11">
        <f t="shared" si="1"/>
        <v>3822917</v>
      </c>
      <c r="L54" s="11">
        <f t="shared" si="1"/>
        <v>27128862</v>
      </c>
      <c r="M54" s="11">
        <f t="shared" si="1"/>
        <v>1</v>
      </c>
      <c r="N54" s="11">
        <f t="shared" si="1"/>
        <v>3384490</v>
      </c>
      <c r="O54" s="11">
        <f t="shared" si="1"/>
        <v>3319470</v>
      </c>
      <c r="P54" s="11">
        <f t="shared" si="1"/>
        <v>0</v>
      </c>
      <c r="Q54" s="11">
        <f t="shared" si="1"/>
        <v>98486759</v>
      </c>
      <c r="R54" s="11">
        <f t="shared" si="1"/>
        <v>6865831</v>
      </c>
      <c r="S54" s="11">
        <f t="shared" si="1"/>
        <v>5409609</v>
      </c>
      <c r="T54" s="11">
        <f t="shared" si="1"/>
        <v>255628</v>
      </c>
      <c r="U54" s="11">
        <f t="shared" si="1"/>
        <v>3596737</v>
      </c>
      <c r="V54" s="11">
        <f t="shared" si="1"/>
        <v>14732567</v>
      </c>
      <c r="W54" s="11">
        <f t="shared" si="1"/>
        <v>11832110</v>
      </c>
      <c r="X54" s="11">
        <f t="shared" si="1"/>
        <v>16061281</v>
      </c>
      <c r="Y54" s="11">
        <f t="shared" si="1"/>
        <v>15397473</v>
      </c>
      <c r="Z54" s="11">
        <f t="shared" si="1"/>
        <v>558591</v>
      </c>
      <c r="AA54" s="11">
        <f t="shared" si="1"/>
        <v>6902997</v>
      </c>
      <c r="AB54" s="11">
        <f t="shared" si="1"/>
        <v>451046</v>
      </c>
      <c r="AC54" s="11">
        <f>SUM(B54:AB54)</f>
        <v>350900633.10000002</v>
      </c>
    </row>
    <row r="55" spans="1:29" x14ac:dyDescent="0.25">
      <c r="A55" s="11" t="s">
        <v>238</v>
      </c>
      <c r="B55" s="11">
        <f t="shared" ref="B55:AB55" si="2">B61-B49-B43-B37-B31-B25-B19-B13-B7</f>
        <v>18622304</v>
      </c>
      <c r="C55" s="11">
        <f t="shared" si="2"/>
        <v>7748976</v>
      </c>
      <c r="D55" s="11">
        <f t="shared" si="2"/>
        <v>42236473</v>
      </c>
      <c r="E55" s="11">
        <f t="shared" si="2"/>
        <v>11582150</v>
      </c>
      <c r="F55" s="11">
        <f t="shared" si="2"/>
        <v>16907987</v>
      </c>
      <c r="G55" s="11">
        <f t="shared" si="2"/>
        <v>709570</v>
      </c>
      <c r="H55" s="11">
        <f t="shared" si="2"/>
        <v>9789381.0999999996</v>
      </c>
      <c r="I55" s="11">
        <f t="shared" si="2"/>
        <v>10814410</v>
      </c>
      <c r="J55" s="11">
        <f t="shared" si="2"/>
        <v>2978331</v>
      </c>
      <c r="K55" s="11">
        <f t="shared" si="2"/>
        <v>3916566</v>
      </c>
      <c r="L55" s="11">
        <f t="shared" si="2"/>
        <v>27204054</v>
      </c>
      <c r="M55" s="11">
        <f t="shared" si="2"/>
        <v>0</v>
      </c>
      <c r="N55" s="11">
        <f t="shared" si="2"/>
        <v>2963035</v>
      </c>
      <c r="O55" s="11">
        <f t="shared" si="2"/>
        <v>3732245</v>
      </c>
      <c r="P55" s="11">
        <f t="shared" si="2"/>
        <v>0</v>
      </c>
      <c r="Q55" s="11">
        <f t="shared" si="2"/>
        <v>98292017</v>
      </c>
      <c r="R55" s="11">
        <f t="shared" si="2"/>
        <v>6725874</v>
      </c>
      <c r="S55" s="11">
        <f t="shared" si="2"/>
        <v>5290892</v>
      </c>
      <c r="T55" s="11">
        <f t="shared" si="2"/>
        <v>214906</v>
      </c>
      <c r="U55" s="11">
        <f t="shared" si="2"/>
        <v>2877272</v>
      </c>
      <c r="V55" s="11">
        <f t="shared" si="2"/>
        <v>13900176</v>
      </c>
      <c r="W55" s="11">
        <f t="shared" si="2"/>
        <v>12068912</v>
      </c>
      <c r="X55" s="11">
        <f t="shared" si="2"/>
        <v>14810591</v>
      </c>
      <c r="Y55" s="11">
        <f t="shared" si="2"/>
        <v>15138716</v>
      </c>
      <c r="Z55" s="11">
        <f t="shared" si="2"/>
        <v>559552</v>
      </c>
      <c r="AA55" s="11">
        <f t="shared" si="2"/>
        <v>6714483</v>
      </c>
      <c r="AB55" s="11">
        <f t="shared" si="2"/>
        <v>712440</v>
      </c>
      <c r="AC55" s="11">
        <f>SUM(B55:AB55)</f>
        <v>336511313.10000002</v>
      </c>
    </row>
    <row r="57" spans="1:29" x14ac:dyDescent="0.25">
      <c r="A57" s="29" t="s">
        <v>51</v>
      </c>
    </row>
    <row r="58" spans="1:29" x14ac:dyDescent="0.25">
      <c r="A58" s="1" t="s">
        <v>0</v>
      </c>
      <c r="B58" s="45" t="s">
        <v>1</v>
      </c>
      <c r="C58" s="45" t="s">
        <v>2</v>
      </c>
      <c r="D58" s="45" t="s">
        <v>3</v>
      </c>
      <c r="E58" s="45" t="s">
        <v>4</v>
      </c>
      <c r="F58" s="45" t="s">
        <v>5</v>
      </c>
      <c r="G58" s="45" t="s">
        <v>6</v>
      </c>
      <c r="H58" s="45" t="s">
        <v>7</v>
      </c>
      <c r="I58" s="45" t="s">
        <v>8</v>
      </c>
      <c r="J58" s="45" t="s">
        <v>10</v>
      </c>
      <c r="K58" s="45" t="s">
        <v>11</v>
      </c>
      <c r="L58" s="45" t="s">
        <v>12</v>
      </c>
      <c r="M58" s="45" t="s">
        <v>13</v>
      </c>
      <c r="N58" s="45" t="s">
        <v>14</v>
      </c>
      <c r="O58" s="45" t="s">
        <v>15</v>
      </c>
      <c r="P58" s="45" t="s">
        <v>16</v>
      </c>
      <c r="Q58" s="45" t="s">
        <v>17</v>
      </c>
      <c r="R58" s="45" t="s">
        <v>18</v>
      </c>
      <c r="S58" s="45" t="s">
        <v>19</v>
      </c>
      <c r="T58" s="45" t="s">
        <v>20</v>
      </c>
      <c r="U58" s="45" t="s">
        <v>22</v>
      </c>
      <c r="V58" s="45" t="s">
        <v>23</v>
      </c>
      <c r="W58" s="45" t="s">
        <v>24</v>
      </c>
      <c r="X58" s="45" t="s">
        <v>25</v>
      </c>
      <c r="Y58" s="45" t="s">
        <v>26</v>
      </c>
      <c r="Z58" s="45" t="s">
        <v>27</v>
      </c>
      <c r="AA58" s="46" t="s">
        <v>28</v>
      </c>
      <c r="AB58" s="45" t="s">
        <v>29</v>
      </c>
      <c r="AC58" s="45" t="s">
        <v>30</v>
      </c>
    </row>
    <row r="59" spans="1:29" x14ac:dyDescent="0.25">
      <c r="A59" s="11" t="s">
        <v>277</v>
      </c>
      <c r="B59" s="11">
        <v>35212219</v>
      </c>
      <c r="C59" s="11">
        <v>10221761</v>
      </c>
      <c r="D59" s="11">
        <v>58321473</v>
      </c>
      <c r="E59" s="11">
        <v>12744195</v>
      </c>
      <c r="F59" s="11">
        <v>24520034</v>
      </c>
      <c r="G59" s="11">
        <v>1438166</v>
      </c>
      <c r="H59" s="11">
        <v>13207297.1</v>
      </c>
      <c r="I59" s="11">
        <v>15552608</v>
      </c>
      <c r="J59" s="11">
        <v>4733913</v>
      </c>
      <c r="K59" s="11">
        <v>80907071</v>
      </c>
      <c r="L59" s="11">
        <v>36913316</v>
      </c>
      <c r="M59" s="11">
        <v>37089</v>
      </c>
      <c r="N59" s="11">
        <v>4087167</v>
      </c>
      <c r="O59" s="11">
        <v>4039421</v>
      </c>
      <c r="P59" s="11">
        <v>4760092</v>
      </c>
      <c r="Q59" s="11">
        <v>120189768</v>
      </c>
      <c r="R59" s="11">
        <v>177633101</v>
      </c>
      <c r="S59" s="11">
        <v>86115892</v>
      </c>
      <c r="T59" s="11">
        <v>287592</v>
      </c>
      <c r="U59" s="11">
        <v>5033223</v>
      </c>
      <c r="V59" s="11">
        <v>16941205</v>
      </c>
      <c r="W59" s="11">
        <v>20398462</v>
      </c>
      <c r="X59" s="11">
        <v>17122674</v>
      </c>
      <c r="Y59" s="11">
        <v>20073425</v>
      </c>
      <c r="Z59" s="11">
        <v>29585595</v>
      </c>
      <c r="AA59" s="11">
        <v>122503630</v>
      </c>
      <c r="AB59" s="11">
        <v>9037876</v>
      </c>
      <c r="AC59" s="11">
        <f>SUM(B59:AB59)</f>
        <v>931618265.10000002</v>
      </c>
    </row>
    <row r="60" spans="1:29" x14ac:dyDescent="0.25">
      <c r="A60" s="11" t="s">
        <v>237</v>
      </c>
      <c r="B60" s="11">
        <v>22280470</v>
      </c>
      <c r="C60" s="11">
        <v>8639182</v>
      </c>
      <c r="D60" s="11">
        <v>45723819</v>
      </c>
      <c r="E60" s="11">
        <v>10971700</v>
      </c>
      <c r="F60" s="11">
        <v>20575012</v>
      </c>
      <c r="G60" s="11">
        <v>1346535</v>
      </c>
      <c r="H60" s="11">
        <v>9034964.0999999996</v>
      </c>
      <c r="I60" s="11">
        <v>10476482</v>
      </c>
      <c r="J60" s="11">
        <v>3646100</v>
      </c>
      <c r="K60" s="11">
        <v>46296369</v>
      </c>
      <c r="L60" s="11">
        <v>27491186</v>
      </c>
      <c r="M60" s="11">
        <v>33031</v>
      </c>
      <c r="N60" s="11">
        <v>3384490</v>
      </c>
      <c r="O60" s="11">
        <v>3319470</v>
      </c>
      <c r="P60" s="11">
        <v>4515528</v>
      </c>
      <c r="Q60" s="11">
        <v>108477589</v>
      </c>
      <c r="R60" s="11">
        <v>159119098</v>
      </c>
      <c r="S60" s="11">
        <v>75437421</v>
      </c>
      <c r="T60" s="11">
        <v>255628</v>
      </c>
      <c r="U60" s="11">
        <v>3596737</v>
      </c>
      <c r="V60" s="11">
        <v>14732567</v>
      </c>
      <c r="W60" s="11">
        <v>11832110</v>
      </c>
      <c r="X60" s="11">
        <v>16061281</v>
      </c>
      <c r="Y60" s="11">
        <v>15397473</v>
      </c>
      <c r="Z60" s="11">
        <v>21783622</v>
      </c>
      <c r="AA60" s="11">
        <v>107145575</v>
      </c>
      <c r="AB60" s="11">
        <v>4939644</v>
      </c>
      <c r="AC60" s="11">
        <f>SUM(B60:AB60)</f>
        <v>756513083.10000002</v>
      </c>
    </row>
    <row r="61" spans="1:29" x14ac:dyDescent="0.25">
      <c r="A61" s="11" t="s">
        <v>238</v>
      </c>
      <c r="B61" s="11">
        <v>18622304</v>
      </c>
      <c r="C61" s="11">
        <v>7748976</v>
      </c>
      <c r="D61" s="11">
        <v>42236473</v>
      </c>
      <c r="E61" s="11">
        <v>11582150</v>
      </c>
      <c r="F61" s="11">
        <v>16907987</v>
      </c>
      <c r="G61" s="11">
        <v>709570</v>
      </c>
      <c r="H61" s="11">
        <v>9789381.0999999996</v>
      </c>
      <c r="I61" s="11">
        <v>10814410</v>
      </c>
      <c r="J61" s="11">
        <v>2978331</v>
      </c>
      <c r="K61" s="11">
        <v>48216173</v>
      </c>
      <c r="L61" s="11">
        <v>28049484</v>
      </c>
      <c r="M61" s="11">
        <v>605</v>
      </c>
      <c r="N61" s="11">
        <v>2963035</v>
      </c>
      <c r="O61" s="11">
        <v>3732245</v>
      </c>
      <c r="P61" s="11">
        <v>3931095</v>
      </c>
      <c r="Q61" s="11">
        <v>107913822</v>
      </c>
      <c r="R61" s="11">
        <v>149598260</v>
      </c>
      <c r="S61" s="11">
        <v>70239021</v>
      </c>
      <c r="T61" s="11">
        <v>214906</v>
      </c>
      <c r="U61" s="11">
        <v>2877272</v>
      </c>
      <c r="V61" s="11">
        <v>13900176</v>
      </c>
      <c r="W61" s="11">
        <v>12068912</v>
      </c>
      <c r="X61" s="11">
        <v>14810591</v>
      </c>
      <c r="Y61" s="11">
        <v>15138716</v>
      </c>
      <c r="Z61" s="11">
        <v>20627372</v>
      </c>
      <c r="AA61" s="11">
        <v>100228655</v>
      </c>
      <c r="AB61" s="11">
        <v>5305564</v>
      </c>
      <c r="AC61" s="11">
        <f>SUM(B61:AB61)</f>
        <v>721205486.10000002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8" customWidth="1"/>
    <col min="2" max="30" width="16" style="8" customWidth="1"/>
    <col min="31" max="16384" width="9.140625" style="8"/>
  </cols>
  <sheetData>
    <row r="1" spans="1:30" ht="18.75" x14ac:dyDescent="0.3">
      <c r="A1" s="6" t="s">
        <v>235</v>
      </c>
    </row>
    <row r="2" spans="1:30" x14ac:dyDescent="0.25">
      <c r="A2" s="16" t="s">
        <v>43</v>
      </c>
    </row>
    <row r="3" spans="1:30" x14ac:dyDescent="0.25">
      <c r="A3" s="33" t="s">
        <v>224</v>
      </c>
    </row>
    <row r="4" spans="1:30" x14ac:dyDescent="0.25">
      <c r="A4" s="4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24</v>
      </c>
      <c r="Y4" s="45" t="s">
        <v>25</v>
      </c>
      <c r="Z4" s="45" t="s">
        <v>26</v>
      </c>
      <c r="AA4" s="45" t="s">
        <v>27</v>
      </c>
      <c r="AB4" s="46" t="s">
        <v>28</v>
      </c>
      <c r="AC4" s="45" t="s">
        <v>29</v>
      </c>
      <c r="AD4" s="45" t="s">
        <v>30</v>
      </c>
    </row>
    <row r="5" spans="1:30" x14ac:dyDescent="0.25">
      <c r="A5" s="26" t="s">
        <v>236</v>
      </c>
      <c r="B5" s="11"/>
      <c r="C5" s="11"/>
      <c r="D5" s="11"/>
      <c r="E5" s="11"/>
      <c r="F5" s="11"/>
      <c r="G5" s="11"/>
      <c r="H5" s="11"/>
      <c r="I5" s="11"/>
      <c r="J5" s="11"/>
      <c r="K5" s="11">
        <v>3231181</v>
      </c>
      <c r="L5" s="11">
        <v>1406951</v>
      </c>
      <c r="M5" s="11"/>
      <c r="N5" s="11"/>
      <c r="O5" s="11"/>
      <c r="P5" s="11"/>
      <c r="Q5" s="11">
        <v>6275280</v>
      </c>
      <c r="R5" s="11">
        <v>18060724</v>
      </c>
      <c r="S5" s="11">
        <v>6721053</v>
      </c>
      <c r="T5" s="11"/>
      <c r="U5" s="11">
        <v>1242062</v>
      </c>
      <c r="V5" s="11"/>
      <c r="W5" s="11"/>
      <c r="X5" s="11"/>
      <c r="Y5" s="11"/>
      <c r="Z5" s="11"/>
      <c r="AA5" s="11">
        <v>2040684</v>
      </c>
      <c r="AB5" s="11">
        <v>9204126</v>
      </c>
      <c r="AC5" s="11">
        <v>1525609</v>
      </c>
      <c r="AD5" s="11">
        <f>SUM(B5:AC5)</f>
        <v>49707670</v>
      </c>
    </row>
    <row r="6" spans="1:30" x14ac:dyDescent="0.25">
      <c r="A6" s="26" t="s">
        <v>279</v>
      </c>
      <c r="B6" s="11"/>
      <c r="C6" s="11"/>
      <c r="D6" s="11"/>
      <c r="E6" s="11"/>
      <c r="F6" s="11"/>
      <c r="G6" s="11"/>
      <c r="H6" s="11"/>
      <c r="I6" s="11"/>
      <c r="J6" s="11"/>
      <c r="K6" s="11">
        <v>633010</v>
      </c>
      <c r="L6" s="11">
        <v>250829</v>
      </c>
      <c r="M6" s="11"/>
      <c r="N6" s="11"/>
      <c r="O6" s="11"/>
      <c r="P6" s="11"/>
      <c r="Q6" s="11">
        <v>6878650</v>
      </c>
      <c r="R6" s="11">
        <v>14719653</v>
      </c>
      <c r="S6" s="11">
        <v>4353327</v>
      </c>
      <c r="T6" s="11"/>
      <c r="U6" s="11">
        <v>362684</v>
      </c>
      <c r="V6" s="11"/>
      <c r="W6" s="11"/>
      <c r="X6" s="11"/>
      <c r="Y6" s="11"/>
      <c r="Z6" s="11"/>
      <c r="AA6" s="11">
        <v>255510</v>
      </c>
      <c r="AB6" s="11">
        <v>5875403</v>
      </c>
      <c r="AC6" s="11">
        <v>285033</v>
      </c>
      <c r="AD6" s="11">
        <f>SUM(B6:AC6)</f>
        <v>33614099</v>
      </c>
    </row>
    <row r="7" spans="1:30" x14ac:dyDescent="0.25">
      <c r="A7" s="16"/>
    </row>
    <row r="8" spans="1:30" x14ac:dyDescent="0.25">
      <c r="A8" s="33" t="s">
        <v>225</v>
      </c>
    </row>
    <row r="9" spans="1:30" x14ac:dyDescent="0.25">
      <c r="A9" s="4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5" t="s">
        <v>5</v>
      </c>
      <c r="G9" s="45" t="s">
        <v>6</v>
      </c>
      <c r="H9" s="45" t="s">
        <v>7</v>
      </c>
      <c r="I9" s="45" t="s">
        <v>8</v>
      </c>
      <c r="J9" s="45" t="s">
        <v>10</v>
      </c>
      <c r="K9" s="45" t="s">
        <v>11</v>
      </c>
      <c r="L9" s="45" t="s">
        <v>12</v>
      </c>
      <c r="M9" s="45" t="s">
        <v>13</v>
      </c>
      <c r="N9" s="45" t="s">
        <v>14</v>
      </c>
      <c r="O9" s="45" t="s">
        <v>15</v>
      </c>
      <c r="P9" s="45" t="s">
        <v>16</v>
      </c>
      <c r="Q9" s="45" t="s">
        <v>17</v>
      </c>
      <c r="R9" s="45" t="s">
        <v>18</v>
      </c>
      <c r="S9" s="45" t="s">
        <v>19</v>
      </c>
      <c r="T9" s="45" t="s">
        <v>20</v>
      </c>
      <c r="U9" s="45" t="s">
        <v>21</v>
      </c>
      <c r="V9" s="45" t="s">
        <v>22</v>
      </c>
      <c r="W9" s="45" t="s">
        <v>23</v>
      </c>
      <c r="X9" s="45" t="s">
        <v>24</v>
      </c>
      <c r="Y9" s="45" t="s">
        <v>25</v>
      </c>
      <c r="Z9" s="45" t="s">
        <v>26</v>
      </c>
      <c r="AA9" s="45" t="s">
        <v>27</v>
      </c>
      <c r="AB9" s="46" t="s">
        <v>28</v>
      </c>
      <c r="AC9" s="45" t="s">
        <v>29</v>
      </c>
      <c r="AD9" s="45" t="s">
        <v>30</v>
      </c>
    </row>
    <row r="10" spans="1:30" x14ac:dyDescent="0.25">
      <c r="A10" s="26" t="s">
        <v>236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v>2291036</v>
      </c>
      <c r="L10" s="11">
        <v>1440155</v>
      </c>
      <c r="M10" s="11"/>
      <c r="N10" s="11"/>
      <c r="O10" s="11"/>
      <c r="P10" s="11"/>
      <c r="Q10" s="11">
        <v>1460677</v>
      </c>
      <c r="R10" s="11">
        <v>4655654</v>
      </c>
      <c r="S10" s="11">
        <v>2662419</v>
      </c>
      <c r="T10" s="11"/>
      <c r="U10" s="11">
        <v>508050</v>
      </c>
      <c r="V10" s="11"/>
      <c r="W10" s="11"/>
      <c r="X10" s="11"/>
      <c r="Y10" s="11"/>
      <c r="Z10" s="11"/>
      <c r="AA10" s="11">
        <v>2124845</v>
      </c>
      <c r="AB10" s="11">
        <v>4057586</v>
      </c>
      <c r="AC10" s="11">
        <f>133026+331</f>
        <v>133357</v>
      </c>
      <c r="AD10" s="11">
        <f>SUM(B10:AC10)</f>
        <v>19333779</v>
      </c>
    </row>
    <row r="11" spans="1:30" x14ac:dyDescent="0.25">
      <c r="A11" s="26" t="s">
        <v>279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v>1803253</v>
      </c>
      <c r="L11" s="11">
        <v>400281</v>
      </c>
      <c r="M11" s="11"/>
      <c r="N11" s="11"/>
      <c r="O11" s="11"/>
      <c r="P11" s="11"/>
      <c r="Q11" s="11">
        <v>1047969</v>
      </c>
      <c r="R11" s="11">
        <v>2724403</v>
      </c>
      <c r="S11" s="11">
        <v>2168495</v>
      </c>
      <c r="T11" s="11"/>
      <c r="U11" s="11">
        <v>314242</v>
      </c>
      <c r="V11" s="11"/>
      <c r="W11" s="11"/>
      <c r="X11" s="11"/>
      <c r="Y11" s="11"/>
      <c r="Z11" s="11"/>
      <c r="AA11" s="11">
        <v>1824771</v>
      </c>
      <c r="AB11" s="11">
        <v>2065571</v>
      </c>
      <c r="AC11" s="11">
        <v>60329</v>
      </c>
      <c r="AD11" s="11">
        <f>SUM(B11:AC11)</f>
        <v>12409314</v>
      </c>
    </row>
    <row r="12" spans="1:30" x14ac:dyDescent="0.25">
      <c r="A12" s="16"/>
    </row>
    <row r="13" spans="1:30" x14ac:dyDescent="0.25">
      <c r="A13" s="33" t="s">
        <v>226</v>
      </c>
    </row>
    <row r="14" spans="1:30" x14ac:dyDescent="0.25">
      <c r="A14" s="4" t="s">
        <v>0</v>
      </c>
      <c r="B14" s="45" t="s">
        <v>1</v>
      </c>
      <c r="C14" s="45" t="s">
        <v>2</v>
      </c>
      <c r="D14" s="45" t="s">
        <v>3</v>
      </c>
      <c r="E14" s="45" t="s">
        <v>4</v>
      </c>
      <c r="F14" s="45" t="s">
        <v>5</v>
      </c>
      <c r="G14" s="45" t="s">
        <v>6</v>
      </c>
      <c r="H14" s="45" t="s">
        <v>7</v>
      </c>
      <c r="I14" s="45" t="s">
        <v>8</v>
      </c>
      <c r="J14" s="45" t="s">
        <v>10</v>
      </c>
      <c r="K14" s="45" t="s">
        <v>11</v>
      </c>
      <c r="L14" s="45" t="s">
        <v>12</v>
      </c>
      <c r="M14" s="45" t="s">
        <v>13</v>
      </c>
      <c r="N14" s="45" t="s">
        <v>14</v>
      </c>
      <c r="O14" s="45" t="s">
        <v>15</v>
      </c>
      <c r="P14" s="45" t="s">
        <v>16</v>
      </c>
      <c r="Q14" s="45" t="s">
        <v>17</v>
      </c>
      <c r="R14" s="45" t="s">
        <v>18</v>
      </c>
      <c r="S14" s="45" t="s">
        <v>19</v>
      </c>
      <c r="T14" s="45" t="s">
        <v>20</v>
      </c>
      <c r="U14" s="45" t="s">
        <v>21</v>
      </c>
      <c r="V14" s="45" t="s">
        <v>22</v>
      </c>
      <c r="W14" s="45" t="s">
        <v>23</v>
      </c>
      <c r="X14" s="45" t="s">
        <v>24</v>
      </c>
      <c r="Y14" s="45" t="s">
        <v>25</v>
      </c>
      <c r="Z14" s="45" t="s">
        <v>26</v>
      </c>
      <c r="AA14" s="45" t="s">
        <v>27</v>
      </c>
      <c r="AB14" s="46" t="s">
        <v>28</v>
      </c>
      <c r="AC14" s="45" t="s">
        <v>29</v>
      </c>
      <c r="AD14" s="45" t="s">
        <v>30</v>
      </c>
    </row>
    <row r="15" spans="1:30" x14ac:dyDescent="0.25">
      <c r="A15" s="26" t="s">
        <v>236</v>
      </c>
      <c r="B15" s="11"/>
      <c r="C15" s="11"/>
      <c r="D15" s="11"/>
      <c r="E15" s="11"/>
      <c r="F15" s="11"/>
      <c r="G15" s="11"/>
      <c r="H15" s="11"/>
      <c r="I15" s="11"/>
      <c r="J15" s="11"/>
      <c r="K15" s="11">
        <v>22314762</v>
      </c>
      <c r="L15" s="11"/>
      <c r="M15" s="11">
        <v>106</v>
      </c>
      <c r="N15" s="11"/>
      <c r="O15" s="11"/>
      <c r="P15" s="11"/>
      <c r="Q15" s="11"/>
      <c r="R15" s="11">
        <v>47702537</v>
      </c>
      <c r="S15" s="11">
        <v>21825397</v>
      </c>
      <c r="T15" s="11"/>
      <c r="U15" s="11">
        <v>10459550</v>
      </c>
      <c r="V15" s="11"/>
      <c r="W15" s="11"/>
      <c r="X15" s="11"/>
      <c r="Y15" s="11"/>
      <c r="Z15" s="11"/>
      <c r="AA15" s="11">
        <v>8200650</v>
      </c>
      <c r="AB15" s="11">
        <v>30213586</v>
      </c>
      <c r="AC15" s="11">
        <f>1293690+817185</f>
        <v>2110875</v>
      </c>
      <c r="AD15" s="11">
        <f>SUM(B15:AC15)</f>
        <v>142827463</v>
      </c>
    </row>
    <row r="16" spans="1:30" x14ac:dyDescent="0.25">
      <c r="A16" s="26" t="s">
        <v>279</v>
      </c>
      <c r="B16" s="11"/>
      <c r="C16" s="11"/>
      <c r="D16" s="11"/>
      <c r="E16" s="11"/>
      <c r="F16" s="11"/>
      <c r="G16" s="11"/>
      <c r="H16" s="11"/>
      <c r="I16" s="11"/>
      <c r="J16" s="11"/>
      <c r="K16" s="11">
        <v>23754641</v>
      </c>
      <c r="L16" s="11"/>
      <c r="M16" s="11">
        <v>2091</v>
      </c>
      <c r="N16" s="11"/>
      <c r="O16" s="11"/>
      <c r="P16" s="11"/>
      <c r="Q16" s="11"/>
      <c r="R16" s="11">
        <v>53143093</v>
      </c>
      <c r="S16" s="11">
        <v>20325844</v>
      </c>
      <c r="T16" s="11"/>
      <c r="U16" s="11">
        <v>11315631</v>
      </c>
      <c r="V16" s="11"/>
      <c r="W16" s="11"/>
      <c r="X16" s="11"/>
      <c r="Y16" s="11"/>
      <c r="Z16" s="11"/>
      <c r="AA16" s="11">
        <v>10657387</v>
      </c>
      <c r="AB16" s="11">
        <v>30137161</v>
      </c>
      <c r="AC16" s="11">
        <f>1139640+691972</f>
        <v>1831612</v>
      </c>
      <c r="AD16" s="11">
        <f>SUM(B16:AC16)</f>
        <v>151167460</v>
      </c>
    </row>
    <row r="17" spans="1:30" x14ac:dyDescent="0.25">
      <c r="A17" s="16"/>
    </row>
    <row r="18" spans="1:30" x14ac:dyDescent="0.25">
      <c r="A18" s="33" t="s">
        <v>227</v>
      </c>
    </row>
    <row r="19" spans="1:30" x14ac:dyDescent="0.25">
      <c r="A19" s="4" t="s">
        <v>0</v>
      </c>
      <c r="B19" s="45" t="s">
        <v>1</v>
      </c>
      <c r="C19" s="45" t="s">
        <v>2</v>
      </c>
      <c r="D19" s="45" t="s">
        <v>3</v>
      </c>
      <c r="E19" s="45" t="s">
        <v>4</v>
      </c>
      <c r="F19" s="45" t="s">
        <v>5</v>
      </c>
      <c r="G19" s="45" t="s">
        <v>6</v>
      </c>
      <c r="H19" s="45" t="s">
        <v>7</v>
      </c>
      <c r="I19" s="45" t="s">
        <v>8</v>
      </c>
      <c r="J19" s="45" t="s">
        <v>10</v>
      </c>
      <c r="K19" s="45" t="s">
        <v>11</v>
      </c>
      <c r="L19" s="45" t="s">
        <v>12</v>
      </c>
      <c r="M19" s="45" t="s">
        <v>13</v>
      </c>
      <c r="N19" s="45" t="s">
        <v>14</v>
      </c>
      <c r="O19" s="45" t="s">
        <v>15</v>
      </c>
      <c r="P19" s="45" t="s">
        <v>16</v>
      </c>
      <c r="Q19" s="45" t="s">
        <v>17</v>
      </c>
      <c r="R19" s="45" t="s">
        <v>18</v>
      </c>
      <c r="S19" s="45" t="s">
        <v>19</v>
      </c>
      <c r="T19" s="45" t="s">
        <v>20</v>
      </c>
      <c r="U19" s="45" t="s">
        <v>21</v>
      </c>
      <c r="V19" s="45" t="s">
        <v>22</v>
      </c>
      <c r="W19" s="45" t="s">
        <v>23</v>
      </c>
      <c r="X19" s="45" t="s">
        <v>24</v>
      </c>
      <c r="Y19" s="45" t="s">
        <v>25</v>
      </c>
      <c r="Z19" s="45" t="s">
        <v>26</v>
      </c>
      <c r="AA19" s="45" t="s">
        <v>27</v>
      </c>
      <c r="AB19" s="46" t="s">
        <v>28</v>
      </c>
      <c r="AC19" s="45" t="s">
        <v>29</v>
      </c>
      <c r="AD19" s="45" t="s">
        <v>30</v>
      </c>
    </row>
    <row r="20" spans="1:30" x14ac:dyDescent="0.25">
      <c r="A20" s="26" t="s">
        <v>236</v>
      </c>
      <c r="B20" s="11"/>
      <c r="C20" s="11"/>
      <c r="D20" s="11"/>
      <c r="E20" s="11"/>
      <c r="F20" s="11"/>
      <c r="G20" s="11"/>
      <c r="H20" s="11"/>
      <c r="I20" s="11"/>
      <c r="J20" s="11"/>
      <c r="K20" s="11">
        <v>1032035</v>
      </c>
      <c r="L20" s="11"/>
      <c r="M20" s="11"/>
      <c r="N20" s="11"/>
      <c r="O20" s="11"/>
      <c r="P20" s="11"/>
      <c r="Q20" s="11"/>
      <c r="R20" s="11">
        <v>2326819</v>
      </c>
      <c r="S20" s="11">
        <v>1412738</v>
      </c>
      <c r="T20" s="11"/>
      <c r="U20" s="11">
        <v>641314</v>
      </c>
      <c r="V20" s="11"/>
      <c r="W20" s="11"/>
      <c r="X20" s="11"/>
      <c r="Y20" s="11"/>
      <c r="Z20" s="11"/>
      <c r="AA20" s="11">
        <v>201881</v>
      </c>
      <c r="AB20" s="11">
        <v>3161208</v>
      </c>
      <c r="AC20" s="11">
        <v>64732</v>
      </c>
      <c r="AD20" s="11">
        <f>SUM(B20:AC20)</f>
        <v>8840727</v>
      </c>
    </row>
    <row r="21" spans="1:30" x14ac:dyDescent="0.25">
      <c r="A21" s="26" t="s">
        <v>279</v>
      </c>
      <c r="B21" s="11"/>
      <c r="C21" s="11"/>
      <c r="D21" s="11"/>
      <c r="E21" s="11"/>
      <c r="F21" s="11"/>
      <c r="G21" s="11"/>
      <c r="H21" s="11"/>
      <c r="I21" s="11"/>
      <c r="J21" s="11"/>
      <c r="K21" s="11">
        <v>404541</v>
      </c>
      <c r="L21" s="11"/>
      <c r="M21" s="11"/>
      <c r="N21" s="11"/>
      <c r="O21" s="11"/>
      <c r="P21" s="11"/>
      <c r="Q21" s="11"/>
      <c r="R21" s="11">
        <v>2493653</v>
      </c>
      <c r="S21" s="11">
        <v>2036252</v>
      </c>
      <c r="T21" s="11"/>
      <c r="U21" s="11">
        <v>103936</v>
      </c>
      <c r="V21" s="11"/>
      <c r="W21" s="11"/>
      <c r="X21" s="11"/>
      <c r="Y21" s="11"/>
      <c r="Z21" s="11"/>
      <c r="AA21" s="11">
        <v>10358</v>
      </c>
      <c r="AB21" s="11">
        <v>2029607</v>
      </c>
      <c r="AC21" s="11">
        <v>28247</v>
      </c>
      <c r="AD21" s="11">
        <f>SUM(B21:AC21)</f>
        <v>7106594</v>
      </c>
    </row>
    <row r="22" spans="1:30" x14ac:dyDescent="0.25">
      <c r="A22" s="16"/>
    </row>
    <row r="23" spans="1:30" x14ac:dyDescent="0.25">
      <c r="A23" s="33" t="s">
        <v>228</v>
      </c>
    </row>
    <row r="24" spans="1:30" x14ac:dyDescent="0.25">
      <c r="A24" s="4" t="s">
        <v>0</v>
      </c>
      <c r="B24" s="45" t="s">
        <v>1</v>
      </c>
      <c r="C24" s="45" t="s">
        <v>2</v>
      </c>
      <c r="D24" s="45" t="s">
        <v>3</v>
      </c>
      <c r="E24" s="45" t="s">
        <v>4</v>
      </c>
      <c r="F24" s="45" t="s">
        <v>5</v>
      </c>
      <c r="G24" s="45" t="s">
        <v>6</v>
      </c>
      <c r="H24" s="45" t="s">
        <v>7</v>
      </c>
      <c r="I24" s="45" t="s">
        <v>8</v>
      </c>
      <c r="J24" s="45" t="s">
        <v>10</v>
      </c>
      <c r="K24" s="45" t="s">
        <v>11</v>
      </c>
      <c r="L24" s="45" t="s">
        <v>12</v>
      </c>
      <c r="M24" s="45" t="s">
        <v>13</v>
      </c>
      <c r="N24" s="45" t="s">
        <v>14</v>
      </c>
      <c r="O24" s="45" t="s">
        <v>15</v>
      </c>
      <c r="P24" s="45" t="s">
        <v>16</v>
      </c>
      <c r="Q24" s="45" t="s">
        <v>17</v>
      </c>
      <c r="R24" s="45" t="s">
        <v>18</v>
      </c>
      <c r="S24" s="45" t="s">
        <v>19</v>
      </c>
      <c r="T24" s="45" t="s">
        <v>20</v>
      </c>
      <c r="U24" s="45" t="s">
        <v>21</v>
      </c>
      <c r="V24" s="45" t="s">
        <v>22</v>
      </c>
      <c r="W24" s="45" t="s">
        <v>23</v>
      </c>
      <c r="X24" s="45" t="s">
        <v>24</v>
      </c>
      <c r="Y24" s="45" t="s">
        <v>25</v>
      </c>
      <c r="Z24" s="45" t="s">
        <v>26</v>
      </c>
      <c r="AA24" s="45" t="s">
        <v>27</v>
      </c>
      <c r="AB24" s="46" t="s">
        <v>28</v>
      </c>
      <c r="AC24" s="45" t="s">
        <v>29</v>
      </c>
      <c r="AD24" s="45" t="s">
        <v>30</v>
      </c>
    </row>
    <row r="25" spans="1:30" x14ac:dyDescent="0.25">
      <c r="A25" s="26" t="s">
        <v>236</v>
      </c>
      <c r="B25" s="11"/>
      <c r="C25" s="11"/>
      <c r="D25" s="11"/>
      <c r="E25" s="11"/>
      <c r="F25" s="11"/>
      <c r="G25" s="11"/>
      <c r="H25" s="11"/>
      <c r="I25" s="11"/>
      <c r="J25" s="11"/>
      <c r="K25" s="11">
        <v>8231334</v>
      </c>
      <c r="L25" s="11"/>
      <c r="M25" s="11"/>
      <c r="N25" s="11"/>
      <c r="O25" s="11"/>
      <c r="P25" s="11">
        <v>2331797</v>
      </c>
      <c r="Q25" s="11"/>
      <c r="R25" s="11">
        <v>49526082</v>
      </c>
      <c r="S25" s="11">
        <v>26571791</v>
      </c>
      <c r="T25" s="11"/>
      <c r="U25" s="11">
        <v>4791975</v>
      </c>
      <c r="V25" s="11"/>
      <c r="W25" s="11"/>
      <c r="X25" s="11"/>
      <c r="Y25" s="11"/>
      <c r="Z25" s="11"/>
      <c r="AA25" s="11">
        <v>1699686</v>
      </c>
      <c r="AB25" s="11">
        <v>43992515</v>
      </c>
      <c r="AC25" s="11">
        <v>1457356</v>
      </c>
      <c r="AD25" s="11">
        <f>SUM(B25:AC25)</f>
        <v>138602536</v>
      </c>
    </row>
    <row r="26" spans="1:30" x14ac:dyDescent="0.25">
      <c r="A26" s="26" t="s">
        <v>279</v>
      </c>
      <c r="B26" s="11"/>
      <c r="C26" s="11"/>
      <c r="D26" s="11"/>
      <c r="E26" s="11"/>
      <c r="F26" s="11"/>
      <c r="G26" s="11"/>
      <c r="H26" s="11"/>
      <c r="I26" s="11"/>
      <c r="J26" s="11"/>
      <c r="K26" s="11">
        <v>7922768</v>
      </c>
      <c r="L26" s="11"/>
      <c r="M26" s="11">
        <v>12</v>
      </c>
      <c r="N26" s="11"/>
      <c r="O26" s="11"/>
      <c r="P26" s="11">
        <v>2339277</v>
      </c>
      <c r="Q26" s="11"/>
      <c r="R26" s="11">
        <v>49374279</v>
      </c>
      <c r="S26" s="11">
        <v>25986142</v>
      </c>
      <c r="T26" s="11"/>
      <c r="U26" s="11">
        <v>4916026</v>
      </c>
      <c r="V26" s="11"/>
      <c r="W26" s="11"/>
      <c r="X26" s="11"/>
      <c r="Y26" s="11"/>
      <c r="Z26" s="11"/>
      <c r="AA26" s="11">
        <v>1754855</v>
      </c>
      <c r="AB26" s="11">
        <v>44035000</v>
      </c>
      <c r="AC26" s="11">
        <v>1112644</v>
      </c>
      <c r="AD26" s="11">
        <f>SUM(B26:AC26)</f>
        <v>137441003</v>
      </c>
    </row>
    <row r="27" spans="1:30" x14ac:dyDescent="0.25">
      <c r="A27" s="16"/>
    </row>
    <row r="28" spans="1:30" x14ac:dyDescent="0.25">
      <c r="A28" s="33" t="s">
        <v>229</v>
      </c>
    </row>
    <row r="29" spans="1:30" x14ac:dyDescent="0.25">
      <c r="A29" s="4" t="s">
        <v>0</v>
      </c>
      <c r="B29" s="45" t="s">
        <v>1</v>
      </c>
      <c r="C29" s="45" t="s">
        <v>2</v>
      </c>
      <c r="D29" s="45" t="s">
        <v>3</v>
      </c>
      <c r="E29" s="45" t="s">
        <v>4</v>
      </c>
      <c r="F29" s="45" t="s">
        <v>5</v>
      </c>
      <c r="G29" s="45" t="s">
        <v>6</v>
      </c>
      <c r="H29" s="45" t="s">
        <v>7</v>
      </c>
      <c r="I29" s="45" t="s">
        <v>8</v>
      </c>
      <c r="J29" s="45" t="s">
        <v>10</v>
      </c>
      <c r="K29" s="45" t="s">
        <v>11</v>
      </c>
      <c r="L29" s="45" t="s">
        <v>12</v>
      </c>
      <c r="M29" s="45" t="s">
        <v>13</v>
      </c>
      <c r="N29" s="45" t="s">
        <v>14</v>
      </c>
      <c r="O29" s="45" t="s">
        <v>15</v>
      </c>
      <c r="P29" s="45" t="s">
        <v>16</v>
      </c>
      <c r="Q29" s="45" t="s">
        <v>17</v>
      </c>
      <c r="R29" s="45" t="s">
        <v>18</v>
      </c>
      <c r="S29" s="45" t="s">
        <v>19</v>
      </c>
      <c r="T29" s="45" t="s">
        <v>20</v>
      </c>
      <c r="U29" s="45" t="s">
        <v>21</v>
      </c>
      <c r="V29" s="45" t="s">
        <v>22</v>
      </c>
      <c r="W29" s="45" t="s">
        <v>23</v>
      </c>
      <c r="X29" s="45" t="s">
        <v>24</v>
      </c>
      <c r="Y29" s="45" t="s">
        <v>25</v>
      </c>
      <c r="Z29" s="45" t="s">
        <v>26</v>
      </c>
      <c r="AA29" s="45" t="s">
        <v>27</v>
      </c>
      <c r="AB29" s="46" t="s">
        <v>28</v>
      </c>
      <c r="AC29" s="45" t="s">
        <v>29</v>
      </c>
      <c r="AD29" s="45" t="s">
        <v>30</v>
      </c>
    </row>
    <row r="30" spans="1:30" x14ac:dyDescent="0.25">
      <c r="A30" s="26" t="s">
        <v>236</v>
      </c>
      <c r="B30" s="11"/>
      <c r="C30" s="11"/>
      <c r="D30" s="11"/>
      <c r="E30" s="11"/>
      <c r="F30" s="11"/>
      <c r="G30" s="11"/>
      <c r="H30" s="11"/>
      <c r="I30" s="11"/>
      <c r="J30" s="11"/>
      <c r="K30" s="11">
        <v>589878</v>
      </c>
      <c r="L30" s="11"/>
      <c r="M30" s="11"/>
      <c r="N30" s="11"/>
      <c r="O30" s="11"/>
      <c r="P30" s="11">
        <v>1746</v>
      </c>
      <c r="Q30" s="11"/>
      <c r="R30" s="11">
        <v>1498883</v>
      </c>
      <c r="S30" s="11">
        <v>1085671</v>
      </c>
      <c r="T30" s="11"/>
      <c r="U30" s="11">
        <v>433994</v>
      </c>
      <c r="V30" s="11"/>
      <c r="W30" s="11"/>
      <c r="X30" s="11"/>
      <c r="Y30" s="11"/>
      <c r="Z30" s="11"/>
      <c r="AA30" s="11">
        <v>702167</v>
      </c>
      <c r="AB30" s="11">
        <v>1699401</v>
      </c>
      <c r="AC30" s="11">
        <v>83277</v>
      </c>
      <c r="AD30" s="11">
        <f>SUM(B30:AC30)</f>
        <v>6095017</v>
      </c>
    </row>
    <row r="31" spans="1:30" x14ac:dyDescent="0.25">
      <c r="A31" s="26" t="s">
        <v>279</v>
      </c>
      <c r="B31" s="11"/>
      <c r="C31" s="11"/>
      <c r="D31" s="11"/>
      <c r="E31" s="11"/>
      <c r="F31" s="11"/>
      <c r="G31" s="11"/>
      <c r="H31" s="11"/>
      <c r="I31" s="11"/>
      <c r="J31" s="11"/>
      <c r="K31" s="11">
        <v>898397</v>
      </c>
      <c r="L31" s="11"/>
      <c r="M31" s="11"/>
      <c r="N31" s="11"/>
      <c r="O31" s="11"/>
      <c r="P31" s="11">
        <v>949</v>
      </c>
      <c r="Q31" s="11"/>
      <c r="R31" s="11">
        <v>1643692</v>
      </c>
      <c r="S31" s="11">
        <v>1027030</v>
      </c>
      <c r="T31" s="11"/>
      <c r="U31" s="11">
        <v>351890</v>
      </c>
      <c r="V31" s="11"/>
      <c r="W31" s="11"/>
      <c r="X31" s="11"/>
      <c r="Y31" s="11"/>
      <c r="Z31" s="11"/>
      <c r="AA31" s="11">
        <v>661494</v>
      </c>
      <c r="AB31" s="11">
        <v>1824568</v>
      </c>
      <c r="AC31" s="11">
        <v>55426</v>
      </c>
      <c r="AD31" s="11">
        <f>SUM(B31:AC31)</f>
        <v>6463446</v>
      </c>
    </row>
    <row r="32" spans="1:30" x14ac:dyDescent="0.25">
      <c r="A32" s="16"/>
    </row>
    <row r="33" spans="1:30" x14ac:dyDescent="0.25">
      <c r="A33" s="33" t="s">
        <v>230</v>
      </c>
    </row>
    <row r="34" spans="1:30" x14ac:dyDescent="0.25">
      <c r="A34" s="4" t="s">
        <v>0</v>
      </c>
      <c r="B34" s="45" t="s">
        <v>1</v>
      </c>
      <c r="C34" s="45" t="s">
        <v>2</v>
      </c>
      <c r="D34" s="45" t="s">
        <v>3</v>
      </c>
      <c r="E34" s="45" t="s">
        <v>4</v>
      </c>
      <c r="F34" s="45" t="s">
        <v>5</v>
      </c>
      <c r="G34" s="45" t="s">
        <v>6</v>
      </c>
      <c r="H34" s="45" t="s">
        <v>7</v>
      </c>
      <c r="I34" s="45" t="s">
        <v>8</v>
      </c>
      <c r="J34" s="45" t="s">
        <v>10</v>
      </c>
      <c r="K34" s="45" t="s">
        <v>11</v>
      </c>
      <c r="L34" s="45" t="s">
        <v>12</v>
      </c>
      <c r="M34" s="45" t="s">
        <v>13</v>
      </c>
      <c r="N34" s="45" t="s">
        <v>14</v>
      </c>
      <c r="O34" s="45" t="s">
        <v>15</v>
      </c>
      <c r="P34" s="45" t="s">
        <v>16</v>
      </c>
      <c r="Q34" s="45" t="s">
        <v>17</v>
      </c>
      <c r="R34" s="45" t="s">
        <v>18</v>
      </c>
      <c r="S34" s="45" t="s">
        <v>19</v>
      </c>
      <c r="T34" s="45" t="s">
        <v>20</v>
      </c>
      <c r="U34" s="45" t="s">
        <v>21</v>
      </c>
      <c r="V34" s="45" t="s">
        <v>22</v>
      </c>
      <c r="W34" s="45" t="s">
        <v>23</v>
      </c>
      <c r="X34" s="45" t="s">
        <v>24</v>
      </c>
      <c r="Y34" s="45" t="s">
        <v>25</v>
      </c>
      <c r="Z34" s="45" t="s">
        <v>26</v>
      </c>
      <c r="AA34" s="45" t="s">
        <v>27</v>
      </c>
      <c r="AB34" s="46" t="s">
        <v>28</v>
      </c>
      <c r="AC34" s="45" t="s">
        <v>29</v>
      </c>
      <c r="AD34" s="45" t="s">
        <v>30</v>
      </c>
    </row>
    <row r="35" spans="1:30" x14ac:dyDescent="0.25">
      <c r="A35" s="26" t="s">
        <v>236</v>
      </c>
      <c r="B35" s="11"/>
      <c r="C35" s="11"/>
      <c r="D35" s="11"/>
      <c r="E35" s="11"/>
      <c r="F35" s="11"/>
      <c r="G35" s="11"/>
      <c r="H35" s="11"/>
      <c r="I35" s="11"/>
      <c r="J35" s="11"/>
      <c r="K35" s="11">
        <v>5042</v>
      </c>
      <c r="L35" s="11"/>
      <c r="M35" s="11"/>
      <c r="N35" s="11"/>
      <c r="O35" s="11"/>
      <c r="P35" s="11"/>
      <c r="Q35" s="11"/>
      <c r="R35" s="11">
        <v>1436182</v>
      </c>
      <c r="S35" s="11">
        <v>47286</v>
      </c>
      <c r="T35" s="11"/>
      <c r="U35" s="11">
        <v>6705</v>
      </c>
      <c r="V35" s="11"/>
      <c r="W35" s="11"/>
      <c r="X35" s="11"/>
      <c r="Y35" s="11"/>
      <c r="Z35" s="11"/>
      <c r="AA35" s="11">
        <v>394935</v>
      </c>
      <c r="AB35" s="11">
        <v>762227</v>
      </c>
      <c r="AC35" s="11"/>
      <c r="AD35" s="11">
        <f>SUM(B35:AC35)</f>
        <v>2652377</v>
      </c>
    </row>
    <row r="36" spans="1:30" x14ac:dyDescent="0.25">
      <c r="A36" s="26" t="s">
        <v>279</v>
      </c>
      <c r="B36" s="11"/>
      <c r="C36" s="11"/>
      <c r="D36" s="11"/>
      <c r="E36" s="11"/>
      <c r="F36" s="11"/>
      <c r="G36" s="11"/>
      <c r="H36" s="11"/>
      <c r="I36" s="11"/>
      <c r="J36" s="11"/>
      <c r="K36" s="11">
        <v>51513</v>
      </c>
      <c r="L36" s="11"/>
      <c r="M36" s="11"/>
      <c r="N36" s="11"/>
      <c r="O36" s="11"/>
      <c r="P36" s="11"/>
      <c r="Q36" s="11"/>
      <c r="R36" s="11">
        <v>1505881</v>
      </c>
      <c r="S36" s="11">
        <v>89024</v>
      </c>
      <c r="T36" s="11"/>
      <c r="U36" s="11">
        <v>19073</v>
      </c>
      <c r="V36" s="11"/>
      <c r="W36" s="11"/>
      <c r="X36" s="11"/>
      <c r="Y36" s="11"/>
      <c r="Z36" s="11"/>
      <c r="AA36" s="11">
        <v>338901</v>
      </c>
      <c r="AB36" s="11">
        <v>424030</v>
      </c>
      <c r="AC36" s="11">
        <v>-2884</v>
      </c>
      <c r="AD36" s="11">
        <f>SUM(B36:AC36)</f>
        <v>2425538</v>
      </c>
    </row>
    <row r="37" spans="1:30" x14ac:dyDescent="0.25">
      <c r="A37" s="34"/>
    </row>
    <row r="38" spans="1:30" x14ac:dyDescent="0.25">
      <c r="A38" s="35" t="s">
        <v>231</v>
      </c>
    </row>
    <row r="39" spans="1:30" x14ac:dyDescent="0.25">
      <c r="A39" s="4" t="s">
        <v>0</v>
      </c>
      <c r="B39" s="45" t="s">
        <v>1</v>
      </c>
      <c r="C39" s="45" t="s">
        <v>2</v>
      </c>
      <c r="D39" s="45" t="s">
        <v>3</v>
      </c>
      <c r="E39" s="45" t="s">
        <v>4</v>
      </c>
      <c r="F39" s="45" t="s">
        <v>5</v>
      </c>
      <c r="G39" s="45" t="s">
        <v>6</v>
      </c>
      <c r="H39" s="45" t="s">
        <v>7</v>
      </c>
      <c r="I39" s="45" t="s">
        <v>8</v>
      </c>
      <c r="J39" s="45" t="s">
        <v>10</v>
      </c>
      <c r="K39" s="45" t="s">
        <v>11</v>
      </c>
      <c r="L39" s="45" t="s">
        <v>12</v>
      </c>
      <c r="M39" s="45" t="s">
        <v>13</v>
      </c>
      <c r="N39" s="45" t="s">
        <v>14</v>
      </c>
      <c r="O39" s="45" t="s">
        <v>15</v>
      </c>
      <c r="P39" s="45" t="s">
        <v>16</v>
      </c>
      <c r="Q39" s="45" t="s">
        <v>17</v>
      </c>
      <c r="R39" s="45" t="s">
        <v>18</v>
      </c>
      <c r="S39" s="45" t="s">
        <v>19</v>
      </c>
      <c r="T39" s="45" t="s">
        <v>20</v>
      </c>
      <c r="U39" s="45" t="s">
        <v>21</v>
      </c>
      <c r="V39" s="45" t="s">
        <v>22</v>
      </c>
      <c r="W39" s="45" t="s">
        <v>23</v>
      </c>
      <c r="X39" s="45" t="s">
        <v>24</v>
      </c>
      <c r="Y39" s="45" t="s">
        <v>25</v>
      </c>
      <c r="Z39" s="45" t="s">
        <v>26</v>
      </c>
      <c r="AA39" s="45" t="s">
        <v>27</v>
      </c>
      <c r="AB39" s="46" t="s">
        <v>28</v>
      </c>
      <c r="AC39" s="45" t="s">
        <v>29</v>
      </c>
      <c r="AD39" s="45" t="s">
        <v>30</v>
      </c>
    </row>
    <row r="40" spans="1:30" x14ac:dyDescent="0.25">
      <c r="A40" s="26" t="s">
        <v>236</v>
      </c>
      <c r="B40" s="11"/>
      <c r="C40" s="11"/>
      <c r="D40" s="11"/>
      <c r="E40" s="11"/>
      <c r="F40" s="11"/>
      <c r="G40" s="11"/>
      <c r="H40" s="11"/>
      <c r="I40" s="11"/>
      <c r="J40" s="11"/>
      <c r="K40" s="11">
        <v>40702</v>
      </c>
      <c r="L40" s="11"/>
      <c r="M40" s="11"/>
      <c r="N40" s="11"/>
      <c r="O40" s="11"/>
      <c r="P40" s="11"/>
      <c r="Q40" s="11"/>
      <c r="R40" s="11">
        <v>522229</v>
      </c>
      <c r="S40" s="11">
        <v>1053883</v>
      </c>
      <c r="T40" s="11"/>
      <c r="U40" s="11">
        <v>98044</v>
      </c>
      <c r="V40" s="11"/>
      <c r="W40" s="11"/>
      <c r="X40" s="11"/>
      <c r="Y40" s="11"/>
      <c r="Z40" s="11"/>
      <c r="AA40" s="11"/>
      <c r="AB40" s="11">
        <v>1133607</v>
      </c>
      <c r="AC40" s="11"/>
      <c r="AD40" s="11">
        <f>SUM(B40:AC40)</f>
        <v>2848465</v>
      </c>
    </row>
    <row r="41" spans="1:30" x14ac:dyDescent="0.25">
      <c r="A41" s="26" t="s">
        <v>279</v>
      </c>
      <c r="B41" s="11"/>
      <c r="C41" s="11"/>
      <c r="D41" s="11"/>
      <c r="E41" s="11"/>
      <c r="F41" s="11"/>
      <c r="G41" s="11"/>
      <c r="H41" s="11"/>
      <c r="I41" s="11"/>
      <c r="J41" s="11"/>
      <c r="K41" s="11">
        <v>580697</v>
      </c>
      <c r="L41" s="11"/>
      <c r="M41" s="11"/>
      <c r="N41" s="11"/>
      <c r="O41" s="11"/>
      <c r="P41" s="11"/>
      <c r="Q41" s="11"/>
      <c r="R41" s="11">
        <v>760476</v>
      </c>
      <c r="S41" s="11">
        <v>343083</v>
      </c>
      <c r="T41" s="11"/>
      <c r="U41" s="11">
        <v>419</v>
      </c>
      <c r="V41" s="11"/>
      <c r="W41" s="11"/>
      <c r="X41" s="11"/>
      <c r="Y41" s="11"/>
      <c r="Z41" s="11"/>
      <c r="AA41" s="11">
        <v>10</v>
      </c>
      <c r="AB41" s="11">
        <v>113854</v>
      </c>
      <c r="AC41" s="11">
        <v>-363</v>
      </c>
      <c r="AD41" s="11">
        <f>SUM(B41:AC41)</f>
        <v>1798176</v>
      </c>
    </row>
    <row r="42" spans="1:30" x14ac:dyDescent="0.25">
      <c r="A42" s="16"/>
    </row>
    <row r="43" spans="1:30" x14ac:dyDescent="0.25">
      <c r="A43" s="33" t="s">
        <v>232</v>
      </c>
    </row>
    <row r="44" spans="1:30" x14ac:dyDescent="0.25">
      <c r="A44" s="4" t="s">
        <v>0</v>
      </c>
      <c r="B44" s="45" t="s">
        <v>1</v>
      </c>
      <c r="C44" s="45" t="s">
        <v>2</v>
      </c>
      <c r="D44" s="45" t="s">
        <v>3</v>
      </c>
      <c r="E44" s="45" t="s">
        <v>4</v>
      </c>
      <c r="F44" s="45" t="s">
        <v>5</v>
      </c>
      <c r="G44" s="45" t="s">
        <v>6</v>
      </c>
      <c r="H44" s="45" t="s">
        <v>7</v>
      </c>
      <c r="I44" s="45" t="s">
        <v>8</v>
      </c>
      <c r="J44" s="45" t="s">
        <v>10</v>
      </c>
      <c r="K44" s="45" t="s">
        <v>11</v>
      </c>
      <c r="L44" s="45" t="s">
        <v>12</v>
      </c>
      <c r="M44" s="45" t="s">
        <v>13</v>
      </c>
      <c r="N44" s="45" t="s">
        <v>14</v>
      </c>
      <c r="O44" s="45" t="s">
        <v>15</v>
      </c>
      <c r="P44" s="45" t="s">
        <v>16</v>
      </c>
      <c r="Q44" s="45" t="s">
        <v>17</v>
      </c>
      <c r="R44" s="45" t="s">
        <v>18</v>
      </c>
      <c r="S44" s="45" t="s">
        <v>19</v>
      </c>
      <c r="T44" s="45" t="s">
        <v>20</v>
      </c>
      <c r="U44" s="45" t="s">
        <v>21</v>
      </c>
      <c r="V44" s="45" t="s">
        <v>22</v>
      </c>
      <c r="W44" s="45" t="s">
        <v>23</v>
      </c>
      <c r="X44" s="45" t="s">
        <v>24</v>
      </c>
      <c r="Y44" s="45" t="s">
        <v>25</v>
      </c>
      <c r="Z44" s="45" t="s">
        <v>26</v>
      </c>
      <c r="AA44" s="45" t="s">
        <v>27</v>
      </c>
      <c r="AB44" s="46" t="s">
        <v>28</v>
      </c>
      <c r="AC44" s="45" t="s">
        <v>29</v>
      </c>
      <c r="AD44" s="45" t="s">
        <v>30</v>
      </c>
    </row>
    <row r="45" spans="1:30" x14ac:dyDescent="0.25">
      <c r="A45" s="26" t="s">
        <v>236</v>
      </c>
      <c r="B45" s="11">
        <f t="shared" ref="B45:AC45" si="0">B50-B40-B35-B30-B20-B15-B10-B5-B25</f>
        <v>29295792</v>
      </c>
      <c r="C45" s="11">
        <f t="shared" si="0"/>
        <v>5673740</v>
      </c>
      <c r="D45" s="11">
        <f t="shared" si="0"/>
        <v>37130394</v>
      </c>
      <c r="E45" s="11">
        <f t="shared" si="0"/>
        <v>9841063</v>
      </c>
      <c r="F45" s="11">
        <f t="shared" si="0"/>
        <v>12898857</v>
      </c>
      <c r="G45" s="11">
        <f t="shared" si="0"/>
        <v>368168</v>
      </c>
      <c r="H45" s="11">
        <f t="shared" si="0"/>
        <v>11228407.199999999</v>
      </c>
      <c r="I45" s="11">
        <f t="shared" si="0"/>
        <v>10147403</v>
      </c>
      <c r="J45" s="11">
        <f t="shared" si="0"/>
        <v>2148885</v>
      </c>
      <c r="K45" s="11">
        <f t="shared" si="0"/>
        <v>10977959</v>
      </c>
      <c r="L45" s="11">
        <f t="shared" si="0"/>
        <v>22666642</v>
      </c>
      <c r="M45" s="11">
        <f t="shared" si="0"/>
        <v>0</v>
      </c>
      <c r="N45" s="11">
        <f t="shared" si="0"/>
        <v>2242185</v>
      </c>
      <c r="O45" s="11">
        <f t="shared" si="0"/>
        <v>2257438</v>
      </c>
      <c r="P45" s="11">
        <f t="shared" si="0"/>
        <v>0</v>
      </c>
      <c r="Q45" s="11">
        <f t="shared" si="0"/>
        <v>91192207</v>
      </c>
      <c r="R45" s="11">
        <f t="shared" si="0"/>
        <v>5247760</v>
      </c>
      <c r="S45" s="11">
        <f t="shared" si="0"/>
        <v>1888123</v>
      </c>
      <c r="T45" s="11">
        <f t="shared" si="0"/>
        <v>22375</v>
      </c>
      <c r="U45" s="11">
        <f t="shared" si="0"/>
        <v>2112684</v>
      </c>
      <c r="V45" s="11">
        <f t="shared" si="0"/>
        <v>1789139</v>
      </c>
      <c r="W45" s="11">
        <f t="shared" si="0"/>
        <v>10587028</v>
      </c>
      <c r="X45" s="11">
        <f t="shared" si="0"/>
        <v>10011936</v>
      </c>
      <c r="Y45" s="11">
        <f t="shared" si="0"/>
        <v>11115214</v>
      </c>
      <c r="Z45" s="11">
        <f t="shared" si="0"/>
        <v>10652298</v>
      </c>
      <c r="AA45" s="11">
        <f t="shared" si="0"/>
        <v>2226901</v>
      </c>
      <c r="AB45" s="11">
        <f t="shared" si="0"/>
        <v>2405017</v>
      </c>
      <c r="AC45" s="11">
        <f t="shared" si="0"/>
        <v>1658501</v>
      </c>
      <c r="AD45" s="11">
        <f>SUM(B45:AC45)</f>
        <v>307786116.19999999</v>
      </c>
    </row>
    <row r="46" spans="1:30" x14ac:dyDescent="0.25">
      <c r="A46" s="26" t="s">
        <v>279</v>
      </c>
      <c r="B46" s="11">
        <f t="shared" ref="B46:AC46" si="1">B51-B41-B36-B31-B26-B21-B16-B11-B6</f>
        <v>18559422</v>
      </c>
      <c r="C46" s="11">
        <f t="shared" si="1"/>
        <v>5006466</v>
      </c>
      <c r="D46" s="11">
        <f t="shared" si="1"/>
        <v>30538581</v>
      </c>
      <c r="E46" s="11">
        <f t="shared" si="1"/>
        <v>10716067</v>
      </c>
      <c r="F46" s="11">
        <f t="shared" si="1"/>
        <v>12237676</v>
      </c>
      <c r="G46" s="11">
        <f t="shared" si="1"/>
        <v>558151</v>
      </c>
      <c r="H46" s="11">
        <f t="shared" si="1"/>
        <v>10006250.189999999</v>
      </c>
      <c r="I46" s="11">
        <f t="shared" si="1"/>
        <v>8788950</v>
      </c>
      <c r="J46" s="11">
        <f t="shared" si="1"/>
        <v>2189558</v>
      </c>
      <c r="K46" s="11">
        <f t="shared" si="1"/>
        <v>3233322</v>
      </c>
      <c r="L46" s="11">
        <f t="shared" si="1"/>
        <v>21545548</v>
      </c>
      <c r="M46" s="11">
        <f t="shared" si="1"/>
        <v>0</v>
      </c>
      <c r="N46" s="11">
        <f t="shared" si="1"/>
        <v>2719359</v>
      </c>
      <c r="O46" s="11">
        <f t="shared" si="1"/>
        <v>3188302</v>
      </c>
      <c r="P46" s="11">
        <f t="shared" si="1"/>
        <v>0</v>
      </c>
      <c r="Q46" s="11">
        <f t="shared" si="1"/>
        <v>94897364</v>
      </c>
      <c r="R46" s="11">
        <f t="shared" si="1"/>
        <v>5046734</v>
      </c>
      <c r="S46" s="11">
        <f t="shared" si="1"/>
        <v>2466723</v>
      </c>
      <c r="T46" s="11">
        <f t="shared" si="1"/>
        <v>53502</v>
      </c>
      <c r="U46" s="11">
        <f t="shared" si="1"/>
        <v>491239</v>
      </c>
      <c r="V46" s="11">
        <f t="shared" si="1"/>
        <v>1647188.6</v>
      </c>
      <c r="W46" s="11">
        <f t="shared" si="1"/>
        <v>10801797</v>
      </c>
      <c r="X46" s="11">
        <f t="shared" si="1"/>
        <v>10012697</v>
      </c>
      <c r="Y46" s="11">
        <f t="shared" si="1"/>
        <v>14941516</v>
      </c>
      <c r="Z46" s="11">
        <f t="shared" si="1"/>
        <v>8145542</v>
      </c>
      <c r="AA46" s="11">
        <f t="shared" si="1"/>
        <v>399350</v>
      </c>
      <c r="AB46" s="11">
        <f t="shared" si="1"/>
        <v>1505728</v>
      </c>
      <c r="AC46" s="11">
        <f t="shared" si="1"/>
        <v>386072</v>
      </c>
      <c r="AD46" s="11">
        <f>SUM(B46:AC46)</f>
        <v>280083104.78999996</v>
      </c>
    </row>
    <row r="47" spans="1:30" x14ac:dyDescent="0.25">
      <c r="A47" s="16"/>
    </row>
    <row r="48" spans="1:30" x14ac:dyDescent="0.25">
      <c r="A48" s="33" t="s">
        <v>51</v>
      </c>
    </row>
    <row r="49" spans="1:30" x14ac:dyDescent="0.25">
      <c r="A49" s="4" t="s">
        <v>0</v>
      </c>
      <c r="B49" s="45" t="s">
        <v>1</v>
      </c>
      <c r="C49" s="45" t="s">
        <v>2</v>
      </c>
      <c r="D49" s="45" t="s">
        <v>3</v>
      </c>
      <c r="E49" s="45" t="s">
        <v>4</v>
      </c>
      <c r="F49" s="45" t="s">
        <v>5</v>
      </c>
      <c r="G49" s="45" t="s">
        <v>6</v>
      </c>
      <c r="H49" s="45" t="s">
        <v>7</v>
      </c>
      <c r="I49" s="45" t="s">
        <v>8</v>
      </c>
      <c r="J49" s="45" t="s">
        <v>10</v>
      </c>
      <c r="K49" s="45" t="s">
        <v>11</v>
      </c>
      <c r="L49" s="45" t="s">
        <v>12</v>
      </c>
      <c r="M49" s="45" t="s">
        <v>13</v>
      </c>
      <c r="N49" s="45" t="s">
        <v>14</v>
      </c>
      <c r="O49" s="45" t="s">
        <v>15</v>
      </c>
      <c r="P49" s="45" t="s">
        <v>16</v>
      </c>
      <c r="Q49" s="45" t="s">
        <v>17</v>
      </c>
      <c r="R49" s="45" t="s">
        <v>18</v>
      </c>
      <c r="S49" s="45" t="s">
        <v>19</v>
      </c>
      <c r="T49" s="45" t="s">
        <v>20</v>
      </c>
      <c r="U49" s="45" t="s">
        <v>21</v>
      </c>
      <c r="V49" s="45" t="s">
        <v>22</v>
      </c>
      <c r="W49" s="45" t="s">
        <v>23</v>
      </c>
      <c r="X49" s="45" t="s">
        <v>24</v>
      </c>
      <c r="Y49" s="45" t="s">
        <v>25</v>
      </c>
      <c r="Z49" s="45" t="s">
        <v>26</v>
      </c>
      <c r="AA49" s="45" t="s">
        <v>27</v>
      </c>
      <c r="AB49" s="46" t="s">
        <v>28</v>
      </c>
      <c r="AC49" s="45" t="s">
        <v>29</v>
      </c>
      <c r="AD49" s="45" t="s">
        <v>30</v>
      </c>
    </row>
    <row r="50" spans="1:30" x14ac:dyDescent="0.25">
      <c r="A50" s="26" t="s">
        <v>236</v>
      </c>
      <c r="B50" s="11">
        <v>29295792</v>
      </c>
      <c r="C50" s="11">
        <v>5673740</v>
      </c>
      <c r="D50" s="11">
        <v>37130394</v>
      </c>
      <c r="E50" s="11">
        <v>9841063</v>
      </c>
      <c r="F50" s="11">
        <v>12898857</v>
      </c>
      <c r="G50" s="11">
        <v>368168</v>
      </c>
      <c r="H50" s="11">
        <v>11228407.199999999</v>
      </c>
      <c r="I50" s="11">
        <v>10147403</v>
      </c>
      <c r="J50" s="11">
        <v>2148885</v>
      </c>
      <c r="K50" s="11">
        <v>48713929</v>
      </c>
      <c r="L50" s="11">
        <v>25513748</v>
      </c>
      <c r="M50" s="11">
        <v>106</v>
      </c>
      <c r="N50" s="11">
        <v>2242185</v>
      </c>
      <c r="O50" s="11">
        <v>2257438</v>
      </c>
      <c r="P50" s="11">
        <v>2333543</v>
      </c>
      <c r="Q50" s="11">
        <v>98928164</v>
      </c>
      <c r="R50" s="11">
        <v>130976870</v>
      </c>
      <c r="S50" s="11">
        <v>63268361</v>
      </c>
      <c r="T50" s="11">
        <v>22375</v>
      </c>
      <c r="U50" s="11">
        <v>20294378</v>
      </c>
      <c r="V50" s="11">
        <v>1789139</v>
      </c>
      <c r="W50" s="11">
        <v>10587028</v>
      </c>
      <c r="X50" s="11">
        <v>10011936</v>
      </c>
      <c r="Y50" s="11">
        <v>11115214</v>
      </c>
      <c r="Z50" s="11">
        <v>10652298</v>
      </c>
      <c r="AA50" s="11">
        <v>17591749</v>
      </c>
      <c r="AB50" s="11">
        <v>96629273</v>
      </c>
      <c r="AC50" s="11">
        <v>7033707</v>
      </c>
      <c r="AD50" s="11">
        <f>SUM(B50:AC50)</f>
        <v>678694150.20000005</v>
      </c>
    </row>
    <row r="51" spans="1:30" x14ac:dyDescent="0.25">
      <c r="A51" s="26" t="s">
        <v>279</v>
      </c>
      <c r="B51" s="11">
        <v>18559422</v>
      </c>
      <c r="C51" s="11">
        <v>5006466</v>
      </c>
      <c r="D51" s="11">
        <v>30538581</v>
      </c>
      <c r="E51" s="11">
        <v>10716067</v>
      </c>
      <c r="F51" s="11">
        <v>12237676</v>
      </c>
      <c r="G51" s="11">
        <v>558151</v>
      </c>
      <c r="H51" s="11">
        <v>10006250.189999999</v>
      </c>
      <c r="I51" s="11">
        <v>8788950</v>
      </c>
      <c r="J51" s="11">
        <v>2189558</v>
      </c>
      <c r="K51" s="11">
        <v>39282142</v>
      </c>
      <c r="L51" s="11">
        <v>22196658</v>
      </c>
      <c r="M51" s="11">
        <v>2103</v>
      </c>
      <c r="N51" s="11">
        <v>2719359</v>
      </c>
      <c r="O51" s="11">
        <v>3188302</v>
      </c>
      <c r="P51" s="11">
        <v>2340226</v>
      </c>
      <c r="Q51" s="11">
        <v>102823983</v>
      </c>
      <c r="R51" s="11">
        <v>131411864</v>
      </c>
      <c r="S51" s="11">
        <v>58795920</v>
      </c>
      <c r="T51" s="11">
        <v>53502</v>
      </c>
      <c r="U51" s="11">
        <v>17875140</v>
      </c>
      <c r="V51" s="11">
        <v>1647188.6</v>
      </c>
      <c r="W51" s="11">
        <v>10801797</v>
      </c>
      <c r="X51" s="11">
        <v>10012697</v>
      </c>
      <c r="Y51" s="11">
        <v>14941516</v>
      </c>
      <c r="Z51" s="11">
        <v>8145542</v>
      </c>
      <c r="AA51" s="11">
        <v>15902636</v>
      </c>
      <c r="AB51" s="11">
        <v>88010922</v>
      </c>
      <c r="AC51" s="11">
        <v>3756116</v>
      </c>
      <c r="AD51" s="11">
        <f>SUM(B51:AC51)</f>
        <v>632508734.78999996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33.140625" style="8" customWidth="1"/>
    <col min="2" max="30" width="16" style="8" customWidth="1"/>
    <col min="31" max="31" width="16" style="9" customWidth="1"/>
    <col min="32" max="16384" width="9.140625" style="8"/>
  </cols>
  <sheetData>
    <row r="1" spans="1:31" ht="18.75" x14ac:dyDescent="0.3">
      <c r="A1" s="10" t="s">
        <v>223</v>
      </c>
    </row>
    <row r="2" spans="1:31" x14ac:dyDescent="0.25">
      <c r="A2" s="28" t="s">
        <v>43</v>
      </c>
    </row>
    <row r="3" spans="1:31" x14ac:dyDescent="0.25">
      <c r="A3" s="29" t="s">
        <v>224</v>
      </c>
    </row>
    <row r="4" spans="1:31" x14ac:dyDescent="0.25">
      <c r="A4" s="4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5" t="s">
        <v>11</v>
      </c>
      <c r="M4" s="45" t="s">
        <v>12</v>
      </c>
      <c r="N4" s="45" t="s">
        <v>13</v>
      </c>
      <c r="O4" s="45" t="s">
        <v>14</v>
      </c>
      <c r="P4" s="45" t="s">
        <v>15</v>
      </c>
      <c r="Q4" s="45" t="s">
        <v>16</v>
      </c>
      <c r="R4" s="45" t="s">
        <v>17</v>
      </c>
      <c r="S4" s="45" t="s">
        <v>18</v>
      </c>
      <c r="T4" s="45" t="s">
        <v>19</v>
      </c>
      <c r="U4" s="45" t="s">
        <v>20</v>
      </c>
      <c r="V4" s="45" t="s">
        <v>21</v>
      </c>
      <c r="W4" s="45" t="s">
        <v>22</v>
      </c>
      <c r="X4" s="45" t="s">
        <v>23</v>
      </c>
      <c r="Y4" s="45" t="s">
        <v>24</v>
      </c>
      <c r="Z4" s="45" t="s">
        <v>25</v>
      </c>
      <c r="AA4" s="45" t="s">
        <v>26</v>
      </c>
      <c r="AB4" s="45" t="s">
        <v>27</v>
      </c>
      <c r="AC4" s="46" t="s">
        <v>28</v>
      </c>
      <c r="AD4" s="45" t="s">
        <v>29</v>
      </c>
      <c r="AE4" s="45" t="s">
        <v>30</v>
      </c>
    </row>
    <row r="5" spans="1:31" x14ac:dyDescent="0.25">
      <c r="A5" s="30" t="s">
        <v>233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>
        <v>202099</v>
      </c>
      <c r="M5" s="11">
        <v>63778</v>
      </c>
      <c r="N5" s="11"/>
      <c r="O5" s="11"/>
      <c r="P5" s="11"/>
      <c r="Q5" s="11"/>
      <c r="R5" s="11">
        <v>606526</v>
      </c>
      <c r="S5" s="11">
        <v>3826358</v>
      </c>
      <c r="T5" s="11">
        <v>767705</v>
      </c>
      <c r="U5" s="11"/>
      <c r="V5" s="11">
        <v>114501</v>
      </c>
      <c r="W5" s="11"/>
      <c r="X5" s="11"/>
      <c r="Y5" s="11"/>
      <c r="Z5" s="11"/>
      <c r="AA5" s="11"/>
      <c r="AB5" s="11">
        <v>230019</v>
      </c>
      <c r="AC5" s="11">
        <v>820142</v>
      </c>
      <c r="AD5" s="11">
        <v>98966</v>
      </c>
      <c r="AE5" s="12">
        <f>SUM(B5:AD5)</f>
        <v>6730094</v>
      </c>
    </row>
    <row r="6" spans="1:31" x14ac:dyDescent="0.25">
      <c r="A6" s="30" t="s">
        <v>234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>
        <v>-490877</v>
      </c>
      <c r="M6" s="11">
        <v>-262516</v>
      </c>
      <c r="N6" s="11"/>
      <c r="O6" s="11"/>
      <c r="P6" s="11"/>
      <c r="Q6" s="11"/>
      <c r="R6" s="11">
        <v>731787</v>
      </c>
      <c r="S6" s="11">
        <v>3815560</v>
      </c>
      <c r="T6" s="11">
        <v>526659</v>
      </c>
      <c r="U6" s="11"/>
      <c r="V6" s="11">
        <v>-171436</v>
      </c>
      <c r="W6" s="11"/>
      <c r="X6" s="11"/>
      <c r="Y6" s="11"/>
      <c r="Z6" s="11"/>
      <c r="AA6" s="11"/>
      <c r="AB6" s="11">
        <v>-546403</v>
      </c>
      <c r="AC6" s="11">
        <v>680466</v>
      </c>
      <c r="AD6" s="11">
        <v>95921</v>
      </c>
      <c r="AE6" s="12">
        <f>SUM(B6:AD6)</f>
        <v>4379161</v>
      </c>
    </row>
    <row r="7" spans="1:31" x14ac:dyDescent="0.25">
      <c r="A7" s="28"/>
    </row>
    <row r="8" spans="1:31" x14ac:dyDescent="0.25">
      <c r="A8" s="29" t="s">
        <v>225</v>
      </c>
    </row>
    <row r="9" spans="1:31" x14ac:dyDescent="0.25">
      <c r="A9" s="4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5" t="s">
        <v>5</v>
      </c>
      <c r="G9" s="45" t="s">
        <v>6</v>
      </c>
      <c r="H9" s="45" t="s">
        <v>7</v>
      </c>
      <c r="I9" s="45" t="s">
        <v>8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16</v>
      </c>
      <c r="R9" s="45" t="s">
        <v>17</v>
      </c>
      <c r="S9" s="45" t="s">
        <v>18</v>
      </c>
      <c r="T9" s="45" t="s">
        <v>19</v>
      </c>
      <c r="U9" s="45" t="s">
        <v>20</v>
      </c>
      <c r="V9" s="45" t="s">
        <v>21</v>
      </c>
      <c r="W9" s="45" t="s">
        <v>22</v>
      </c>
      <c r="X9" s="45" t="s">
        <v>23</v>
      </c>
      <c r="Y9" s="45" t="s">
        <v>24</v>
      </c>
      <c r="Z9" s="45" t="s">
        <v>25</v>
      </c>
      <c r="AA9" s="45" t="s">
        <v>26</v>
      </c>
      <c r="AB9" s="45" t="s">
        <v>27</v>
      </c>
      <c r="AC9" s="46" t="s">
        <v>28</v>
      </c>
      <c r="AD9" s="45" t="s">
        <v>29</v>
      </c>
      <c r="AE9" s="45" t="s">
        <v>30</v>
      </c>
    </row>
    <row r="10" spans="1:31" x14ac:dyDescent="0.25">
      <c r="A10" s="30" t="s">
        <v>233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>
        <v>200063</v>
      </c>
      <c r="M10" s="11">
        <v>56571</v>
      </c>
      <c r="N10" s="11"/>
      <c r="O10" s="11"/>
      <c r="P10" s="11"/>
      <c r="Q10" s="11"/>
      <c r="R10" s="11">
        <v>240110</v>
      </c>
      <c r="S10" s="11">
        <v>511753</v>
      </c>
      <c r="T10" s="11">
        <v>338320</v>
      </c>
      <c r="U10" s="11"/>
      <c r="V10" s="11">
        <v>40912</v>
      </c>
      <c r="W10" s="11"/>
      <c r="X10" s="11"/>
      <c r="Y10" s="11"/>
      <c r="Z10" s="11"/>
      <c r="AA10" s="11"/>
      <c r="AB10" s="11">
        <v>305844</v>
      </c>
      <c r="AC10" s="11">
        <v>320423</v>
      </c>
      <c r="AD10" s="11">
        <v>10722</v>
      </c>
      <c r="AE10" s="12">
        <f>SUM(B10:AD10)</f>
        <v>2024718</v>
      </c>
    </row>
    <row r="11" spans="1:31" x14ac:dyDescent="0.25">
      <c r="A11" s="30" t="s">
        <v>234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>
        <v>210581</v>
      </c>
      <c r="M11" s="11">
        <v>-68212</v>
      </c>
      <c r="N11" s="11"/>
      <c r="O11" s="11"/>
      <c r="P11" s="11"/>
      <c r="Q11" s="11"/>
      <c r="R11" s="11">
        <v>127020</v>
      </c>
      <c r="S11" s="11">
        <v>480025</v>
      </c>
      <c r="T11" s="11">
        <v>221224</v>
      </c>
      <c r="U11" s="11"/>
      <c r="V11" s="11">
        <v>31777</v>
      </c>
      <c r="W11" s="11"/>
      <c r="X11" s="11"/>
      <c r="Y11" s="11"/>
      <c r="Z11" s="11"/>
      <c r="AA11" s="11"/>
      <c r="AB11" s="11">
        <v>251877</v>
      </c>
      <c r="AC11" s="11">
        <v>226963</v>
      </c>
      <c r="AD11" s="11">
        <f>-9845-2890</f>
        <v>-12735</v>
      </c>
      <c r="AE11" s="12">
        <f>SUM(B11:AD11)</f>
        <v>1468520</v>
      </c>
    </row>
    <row r="12" spans="1:31" x14ac:dyDescent="0.25">
      <c r="A12" s="28"/>
    </row>
    <row r="13" spans="1:31" x14ac:dyDescent="0.25">
      <c r="A13" s="29" t="s">
        <v>226</v>
      </c>
    </row>
    <row r="14" spans="1:31" x14ac:dyDescent="0.25">
      <c r="A14" s="4" t="s">
        <v>0</v>
      </c>
      <c r="B14" s="45" t="s">
        <v>1</v>
      </c>
      <c r="C14" s="45" t="s">
        <v>2</v>
      </c>
      <c r="D14" s="45" t="s">
        <v>3</v>
      </c>
      <c r="E14" s="45" t="s">
        <v>4</v>
      </c>
      <c r="F14" s="45" t="s">
        <v>5</v>
      </c>
      <c r="G14" s="45" t="s">
        <v>6</v>
      </c>
      <c r="H14" s="45" t="s">
        <v>7</v>
      </c>
      <c r="I14" s="45" t="s">
        <v>8</v>
      </c>
      <c r="J14" s="45" t="s">
        <v>9</v>
      </c>
      <c r="K14" s="45" t="s">
        <v>10</v>
      </c>
      <c r="L14" s="45" t="s">
        <v>11</v>
      </c>
      <c r="M14" s="45" t="s">
        <v>12</v>
      </c>
      <c r="N14" s="45" t="s">
        <v>13</v>
      </c>
      <c r="O14" s="45" t="s">
        <v>14</v>
      </c>
      <c r="P14" s="45" t="s">
        <v>15</v>
      </c>
      <c r="Q14" s="45" t="s">
        <v>16</v>
      </c>
      <c r="R14" s="45" t="s">
        <v>17</v>
      </c>
      <c r="S14" s="45" t="s">
        <v>18</v>
      </c>
      <c r="T14" s="45" t="s">
        <v>19</v>
      </c>
      <c r="U14" s="45" t="s">
        <v>20</v>
      </c>
      <c r="V14" s="45" t="s">
        <v>21</v>
      </c>
      <c r="W14" s="45" t="s">
        <v>22</v>
      </c>
      <c r="X14" s="45" t="s">
        <v>23</v>
      </c>
      <c r="Y14" s="45" t="s">
        <v>24</v>
      </c>
      <c r="Z14" s="45" t="s">
        <v>25</v>
      </c>
      <c r="AA14" s="45" t="s">
        <v>26</v>
      </c>
      <c r="AB14" s="45" t="s">
        <v>27</v>
      </c>
      <c r="AC14" s="46" t="s">
        <v>28</v>
      </c>
      <c r="AD14" s="45" t="s">
        <v>29</v>
      </c>
      <c r="AE14" s="45" t="s">
        <v>30</v>
      </c>
    </row>
    <row r="15" spans="1:31" x14ac:dyDescent="0.25">
      <c r="A15" s="30" t="s">
        <v>233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>
        <v>1186433</v>
      </c>
      <c r="M15" s="11"/>
      <c r="N15" s="11">
        <v>2196</v>
      </c>
      <c r="O15" s="11"/>
      <c r="P15" s="11"/>
      <c r="Q15" s="11"/>
      <c r="R15" s="11"/>
      <c r="S15" s="11">
        <v>4818280</v>
      </c>
      <c r="T15" s="11">
        <v>1561735</v>
      </c>
      <c r="U15" s="11"/>
      <c r="V15" s="11">
        <v>675286</v>
      </c>
      <c r="W15" s="11"/>
      <c r="X15" s="11"/>
      <c r="Y15" s="11"/>
      <c r="Z15" s="11"/>
      <c r="AA15" s="11"/>
      <c r="AB15" s="11">
        <v>705926</v>
      </c>
      <c r="AC15" s="11">
        <v>1298429</v>
      </c>
      <c r="AD15" s="11">
        <v>110112</v>
      </c>
      <c r="AE15" s="12">
        <f>SUM(B15:AD15)</f>
        <v>10358397</v>
      </c>
    </row>
    <row r="16" spans="1:31" x14ac:dyDescent="0.25">
      <c r="A16" s="30" t="s">
        <v>234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>
        <v>-582577</v>
      </c>
      <c r="M16" s="11"/>
      <c r="N16" s="11">
        <v>1983</v>
      </c>
      <c r="O16" s="11"/>
      <c r="P16" s="11"/>
      <c r="Q16" s="11"/>
      <c r="R16" s="11"/>
      <c r="S16" s="11">
        <v>4459991</v>
      </c>
      <c r="T16" s="11">
        <v>1405221</v>
      </c>
      <c r="U16" s="11"/>
      <c r="V16" s="11">
        <v>-98992</v>
      </c>
      <c r="W16" s="11"/>
      <c r="X16" s="11"/>
      <c r="Y16" s="11"/>
      <c r="Z16" s="11"/>
      <c r="AA16" s="11"/>
      <c r="AB16" s="11">
        <v>626155</v>
      </c>
      <c r="AC16" s="11">
        <v>1095768</v>
      </c>
      <c r="AD16" s="11">
        <v>92441</v>
      </c>
      <c r="AE16" s="12">
        <f>SUM(B16:AD16)</f>
        <v>6999990</v>
      </c>
    </row>
    <row r="17" spans="1:31" x14ac:dyDescent="0.25">
      <c r="A17" s="28"/>
    </row>
    <row r="18" spans="1:31" x14ac:dyDescent="0.25">
      <c r="A18" s="29" t="s">
        <v>227</v>
      </c>
    </row>
    <row r="19" spans="1:31" x14ac:dyDescent="0.25">
      <c r="A19" s="4" t="s">
        <v>0</v>
      </c>
      <c r="B19" s="45" t="s">
        <v>1</v>
      </c>
      <c r="C19" s="45" t="s">
        <v>2</v>
      </c>
      <c r="D19" s="45" t="s">
        <v>3</v>
      </c>
      <c r="E19" s="45" t="s">
        <v>4</v>
      </c>
      <c r="F19" s="45" t="s">
        <v>5</v>
      </c>
      <c r="G19" s="45" t="s">
        <v>6</v>
      </c>
      <c r="H19" s="45" t="s">
        <v>7</v>
      </c>
      <c r="I19" s="45" t="s">
        <v>8</v>
      </c>
      <c r="J19" s="45" t="s">
        <v>9</v>
      </c>
      <c r="K19" s="45" t="s">
        <v>10</v>
      </c>
      <c r="L19" s="45" t="s">
        <v>11</v>
      </c>
      <c r="M19" s="45" t="s">
        <v>12</v>
      </c>
      <c r="N19" s="45" t="s">
        <v>13</v>
      </c>
      <c r="O19" s="45" t="s">
        <v>14</v>
      </c>
      <c r="P19" s="45" t="s">
        <v>15</v>
      </c>
      <c r="Q19" s="45" t="s">
        <v>16</v>
      </c>
      <c r="R19" s="45" t="s">
        <v>17</v>
      </c>
      <c r="S19" s="45" t="s">
        <v>18</v>
      </c>
      <c r="T19" s="45" t="s">
        <v>19</v>
      </c>
      <c r="U19" s="45" t="s">
        <v>20</v>
      </c>
      <c r="V19" s="45" t="s">
        <v>21</v>
      </c>
      <c r="W19" s="45" t="s">
        <v>22</v>
      </c>
      <c r="X19" s="45" t="s">
        <v>23</v>
      </c>
      <c r="Y19" s="45" t="s">
        <v>24</v>
      </c>
      <c r="Z19" s="45" t="s">
        <v>25</v>
      </c>
      <c r="AA19" s="45" t="s">
        <v>26</v>
      </c>
      <c r="AB19" s="45" t="s">
        <v>27</v>
      </c>
      <c r="AC19" s="46" t="s">
        <v>28</v>
      </c>
      <c r="AD19" s="45" t="s">
        <v>29</v>
      </c>
      <c r="AE19" s="45" t="s">
        <v>30</v>
      </c>
    </row>
    <row r="20" spans="1:31" x14ac:dyDescent="0.25">
      <c r="A20" s="30" t="s">
        <v>233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>
        <v>98925</v>
      </c>
      <c r="M20" s="11"/>
      <c r="N20" s="11"/>
      <c r="O20" s="11"/>
      <c r="P20" s="11"/>
      <c r="Q20" s="11"/>
      <c r="R20" s="11"/>
      <c r="S20" s="11">
        <v>463130</v>
      </c>
      <c r="T20" s="11">
        <v>172157</v>
      </c>
      <c r="U20" s="11"/>
      <c r="V20" s="11">
        <v>39444</v>
      </c>
      <c r="W20" s="11"/>
      <c r="X20" s="11"/>
      <c r="Y20" s="11"/>
      <c r="Z20" s="11"/>
      <c r="AA20" s="11"/>
      <c r="AB20" s="11">
        <v>50309</v>
      </c>
      <c r="AC20" s="11">
        <v>298979</v>
      </c>
      <c r="AD20" s="11">
        <v>19004</v>
      </c>
      <c r="AE20" s="12">
        <f>SUM(B20:AD20)</f>
        <v>1141948</v>
      </c>
    </row>
    <row r="21" spans="1:31" x14ac:dyDescent="0.25">
      <c r="A21" s="30" t="s">
        <v>234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>
        <v>-163677</v>
      </c>
      <c r="M21" s="11"/>
      <c r="N21" s="11"/>
      <c r="O21" s="11"/>
      <c r="P21" s="11"/>
      <c r="Q21" s="11"/>
      <c r="R21" s="11"/>
      <c r="S21" s="11">
        <v>147721</v>
      </c>
      <c r="T21" s="11">
        <v>125036</v>
      </c>
      <c r="U21" s="11"/>
      <c r="V21" s="11">
        <v>-40285</v>
      </c>
      <c r="W21" s="11"/>
      <c r="X21" s="11"/>
      <c r="Y21" s="11"/>
      <c r="Z21" s="11"/>
      <c r="AA21" s="11"/>
      <c r="AB21" s="11">
        <v>-121761</v>
      </c>
      <c r="AC21" s="11">
        <v>60532</v>
      </c>
      <c r="AD21" s="11">
        <v>-8631</v>
      </c>
      <c r="AE21" s="12">
        <f>SUM(B21:AD21)</f>
        <v>-1065</v>
      </c>
    </row>
    <row r="22" spans="1:31" x14ac:dyDescent="0.25">
      <c r="A22" s="28"/>
    </row>
    <row r="23" spans="1:31" x14ac:dyDescent="0.25">
      <c r="A23" s="29" t="s">
        <v>228</v>
      </c>
    </row>
    <row r="24" spans="1:31" x14ac:dyDescent="0.25">
      <c r="A24" s="4" t="s">
        <v>0</v>
      </c>
      <c r="B24" s="45" t="s">
        <v>1</v>
      </c>
      <c r="C24" s="45" t="s">
        <v>2</v>
      </c>
      <c r="D24" s="45" t="s">
        <v>3</v>
      </c>
      <c r="E24" s="45" t="s">
        <v>4</v>
      </c>
      <c r="F24" s="45" t="s">
        <v>5</v>
      </c>
      <c r="G24" s="45" t="s">
        <v>6</v>
      </c>
      <c r="H24" s="45" t="s">
        <v>7</v>
      </c>
      <c r="I24" s="45" t="s">
        <v>8</v>
      </c>
      <c r="J24" s="45" t="s">
        <v>9</v>
      </c>
      <c r="K24" s="45" t="s">
        <v>10</v>
      </c>
      <c r="L24" s="45" t="s">
        <v>11</v>
      </c>
      <c r="M24" s="45" t="s">
        <v>12</v>
      </c>
      <c r="N24" s="45" t="s">
        <v>13</v>
      </c>
      <c r="O24" s="45" t="s">
        <v>14</v>
      </c>
      <c r="P24" s="45" t="s">
        <v>15</v>
      </c>
      <c r="Q24" s="45" t="s">
        <v>16</v>
      </c>
      <c r="R24" s="45" t="s">
        <v>17</v>
      </c>
      <c r="S24" s="45" t="s">
        <v>18</v>
      </c>
      <c r="T24" s="45" t="s">
        <v>19</v>
      </c>
      <c r="U24" s="45" t="s">
        <v>20</v>
      </c>
      <c r="V24" s="45" t="s">
        <v>21</v>
      </c>
      <c r="W24" s="45" t="s">
        <v>22</v>
      </c>
      <c r="X24" s="45" t="s">
        <v>23</v>
      </c>
      <c r="Y24" s="45" t="s">
        <v>24</v>
      </c>
      <c r="Z24" s="45" t="s">
        <v>25</v>
      </c>
      <c r="AA24" s="45" t="s">
        <v>26</v>
      </c>
      <c r="AB24" s="45" t="s">
        <v>27</v>
      </c>
      <c r="AC24" s="46" t="s">
        <v>28</v>
      </c>
      <c r="AD24" s="45" t="s">
        <v>29</v>
      </c>
      <c r="AE24" s="45" t="s">
        <v>30</v>
      </c>
    </row>
    <row r="25" spans="1:31" x14ac:dyDescent="0.25">
      <c r="A25" s="30" t="s">
        <v>233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>
        <v>1134987</v>
      </c>
      <c r="M25" s="11"/>
      <c r="N25" s="11">
        <v>124</v>
      </c>
      <c r="O25" s="11"/>
      <c r="P25" s="11"/>
      <c r="Q25" s="11">
        <v>483783</v>
      </c>
      <c r="R25" s="11"/>
      <c r="S25" s="11">
        <v>3477978</v>
      </c>
      <c r="T25" s="11">
        <v>1638325</v>
      </c>
      <c r="U25" s="11"/>
      <c r="V25" s="11">
        <v>174071</v>
      </c>
      <c r="W25" s="11"/>
      <c r="X25" s="11"/>
      <c r="Y25" s="11"/>
      <c r="Z25" s="11"/>
      <c r="AA25" s="11"/>
      <c r="AB25" s="11">
        <v>181730</v>
      </c>
      <c r="AC25" s="11">
        <v>2543287</v>
      </c>
      <c r="AD25" s="11">
        <v>133384</v>
      </c>
      <c r="AE25" s="12">
        <f>SUM(B25:AD25)</f>
        <v>9767669</v>
      </c>
    </row>
    <row r="26" spans="1:31" x14ac:dyDescent="0.25">
      <c r="A26" s="30" t="s">
        <v>234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>
        <v>-1910839</v>
      </c>
      <c r="M26" s="11"/>
      <c r="N26" s="11">
        <v>118</v>
      </c>
      <c r="O26" s="11"/>
      <c r="P26" s="11"/>
      <c r="Q26" s="11">
        <v>447972</v>
      </c>
      <c r="R26" s="11"/>
      <c r="S26" s="11">
        <v>3192422</v>
      </c>
      <c r="T26" s="11">
        <v>1476359</v>
      </c>
      <c r="U26" s="11"/>
      <c r="V26" s="11">
        <v>116361</v>
      </c>
      <c r="W26" s="11"/>
      <c r="X26" s="11"/>
      <c r="Y26" s="11"/>
      <c r="Z26" s="11"/>
      <c r="AA26" s="11"/>
      <c r="AB26" s="11">
        <v>132070</v>
      </c>
      <c r="AC26" s="11">
        <v>2258923</v>
      </c>
      <c r="AD26" s="11">
        <v>87861</v>
      </c>
      <c r="AE26" s="12">
        <f>SUM(B26:AD26)</f>
        <v>5801247</v>
      </c>
    </row>
    <row r="27" spans="1:31" x14ac:dyDescent="0.25">
      <c r="A27" s="28"/>
    </row>
    <row r="28" spans="1:31" x14ac:dyDescent="0.25">
      <c r="A28" s="29" t="s">
        <v>229</v>
      </c>
    </row>
    <row r="29" spans="1:31" x14ac:dyDescent="0.25">
      <c r="A29" s="4" t="s">
        <v>0</v>
      </c>
      <c r="B29" s="45" t="s">
        <v>1</v>
      </c>
      <c r="C29" s="45" t="s">
        <v>2</v>
      </c>
      <c r="D29" s="45" t="s">
        <v>3</v>
      </c>
      <c r="E29" s="45" t="s">
        <v>4</v>
      </c>
      <c r="F29" s="45" t="s">
        <v>5</v>
      </c>
      <c r="G29" s="45" t="s">
        <v>6</v>
      </c>
      <c r="H29" s="45" t="s">
        <v>7</v>
      </c>
      <c r="I29" s="45" t="s">
        <v>8</v>
      </c>
      <c r="J29" s="45" t="s">
        <v>9</v>
      </c>
      <c r="K29" s="45" t="s">
        <v>10</v>
      </c>
      <c r="L29" s="45" t="s">
        <v>11</v>
      </c>
      <c r="M29" s="45" t="s">
        <v>12</v>
      </c>
      <c r="N29" s="45" t="s">
        <v>13</v>
      </c>
      <c r="O29" s="45" t="s">
        <v>14</v>
      </c>
      <c r="P29" s="45" t="s">
        <v>15</v>
      </c>
      <c r="Q29" s="45" t="s">
        <v>16</v>
      </c>
      <c r="R29" s="45" t="s">
        <v>17</v>
      </c>
      <c r="S29" s="45" t="s">
        <v>18</v>
      </c>
      <c r="T29" s="45" t="s">
        <v>19</v>
      </c>
      <c r="U29" s="45" t="s">
        <v>20</v>
      </c>
      <c r="V29" s="45" t="s">
        <v>21</v>
      </c>
      <c r="W29" s="45" t="s">
        <v>22</v>
      </c>
      <c r="X29" s="45" t="s">
        <v>23</v>
      </c>
      <c r="Y29" s="45" t="s">
        <v>24</v>
      </c>
      <c r="Z29" s="45" t="s">
        <v>25</v>
      </c>
      <c r="AA29" s="45" t="s">
        <v>26</v>
      </c>
      <c r="AB29" s="45" t="s">
        <v>27</v>
      </c>
      <c r="AC29" s="46" t="s">
        <v>28</v>
      </c>
      <c r="AD29" s="45" t="s">
        <v>29</v>
      </c>
      <c r="AE29" s="45" t="s">
        <v>30</v>
      </c>
    </row>
    <row r="30" spans="1:31" x14ac:dyDescent="0.25">
      <c r="A30" s="30" t="s">
        <v>233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>
        <v>289000</v>
      </c>
      <c r="M30" s="11"/>
      <c r="N30" s="11"/>
      <c r="O30" s="11"/>
      <c r="P30" s="11"/>
      <c r="Q30" s="11">
        <v>622</v>
      </c>
      <c r="R30" s="11"/>
      <c r="S30" s="11">
        <v>279671</v>
      </c>
      <c r="T30" s="11">
        <v>136032</v>
      </c>
      <c r="U30" s="11"/>
      <c r="V30" s="11">
        <v>26215</v>
      </c>
      <c r="W30" s="11"/>
      <c r="X30" s="11"/>
      <c r="Y30" s="11"/>
      <c r="Z30" s="11"/>
      <c r="AA30" s="11"/>
      <c r="AB30" s="11">
        <v>108783</v>
      </c>
      <c r="AC30" s="11">
        <v>231277</v>
      </c>
      <c r="AD30" s="11">
        <v>12036</v>
      </c>
      <c r="AE30" s="12">
        <f>SUM(B30:AD30)</f>
        <v>1083636</v>
      </c>
    </row>
    <row r="31" spans="1:31" x14ac:dyDescent="0.25">
      <c r="A31" s="30" t="s">
        <v>234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>
        <v>-180924</v>
      </c>
      <c r="M31" s="11"/>
      <c r="N31" s="11"/>
      <c r="O31" s="11"/>
      <c r="P31" s="11"/>
      <c r="Q31" s="11">
        <v>1</v>
      </c>
      <c r="R31" s="11"/>
      <c r="S31" s="11">
        <v>287807</v>
      </c>
      <c r="T31" s="11">
        <v>108978</v>
      </c>
      <c r="U31" s="11"/>
      <c r="V31" s="11">
        <v>24093</v>
      </c>
      <c r="W31" s="11"/>
      <c r="X31" s="11"/>
      <c r="Y31" s="11"/>
      <c r="Z31" s="11"/>
      <c r="AA31" s="11"/>
      <c r="AB31" s="11">
        <v>79881</v>
      </c>
      <c r="AC31" s="11">
        <v>114987</v>
      </c>
      <c r="AD31" s="11">
        <v>7981</v>
      </c>
      <c r="AE31" s="12">
        <f>SUM(B31:AD31)</f>
        <v>442804</v>
      </c>
    </row>
    <row r="32" spans="1:31" x14ac:dyDescent="0.25">
      <c r="A32" s="28"/>
    </row>
    <row r="33" spans="1:31" x14ac:dyDescent="0.25">
      <c r="A33" s="29" t="s">
        <v>230</v>
      </c>
    </row>
    <row r="34" spans="1:31" x14ac:dyDescent="0.25">
      <c r="A34" s="4" t="s">
        <v>0</v>
      </c>
      <c r="B34" s="45" t="s">
        <v>1</v>
      </c>
      <c r="C34" s="45" t="s">
        <v>2</v>
      </c>
      <c r="D34" s="45" t="s">
        <v>3</v>
      </c>
      <c r="E34" s="45" t="s">
        <v>4</v>
      </c>
      <c r="F34" s="45" t="s">
        <v>5</v>
      </c>
      <c r="G34" s="45" t="s">
        <v>6</v>
      </c>
      <c r="H34" s="45" t="s">
        <v>7</v>
      </c>
      <c r="I34" s="45" t="s">
        <v>8</v>
      </c>
      <c r="J34" s="45" t="s">
        <v>9</v>
      </c>
      <c r="K34" s="45" t="s">
        <v>10</v>
      </c>
      <c r="L34" s="45" t="s">
        <v>11</v>
      </c>
      <c r="M34" s="45" t="s">
        <v>12</v>
      </c>
      <c r="N34" s="45" t="s">
        <v>13</v>
      </c>
      <c r="O34" s="45" t="s">
        <v>14</v>
      </c>
      <c r="P34" s="45" t="s">
        <v>15</v>
      </c>
      <c r="Q34" s="45" t="s">
        <v>16</v>
      </c>
      <c r="R34" s="45" t="s">
        <v>17</v>
      </c>
      <c r="S34" s="45" t="s">
        <v>18</v>
      </c>
      <c r="T34" s="45" t="s">
        <v>19</v>
      </c>
      <c r="U34" s="45" t="s">
        <v>20</v>
      </c>
      <c r="V34" s="45" t="s">
        <v>21</v>
      </c>
      <c r="W34" s="45" t="s">
        <v>22</v>
      </c>
      <c r="X34" s="45" t="s">
        <v>23</v>
      </c>
      <c r="Y34" s="45" t="s">
        <v>24</v>
      </c>
      <c r="Z34" s="45" t="s">
        <v>25</v>
      </c>
      <c r="AA34" s="45" t="s">
        <v>26</v>
      </c>
      <c r="AB34" s="45" t="s">
        <v>27</v>
      </c>
      <c r="AC34" s="46" t="s">
        <v>28</v>
      </c>
      <c r="AD34" s="45" t="s">
        <v>29</v>
      </c>
      <c r="AE34" s="45" t="s">
        <v>30</v>
      </c>
    </row>
    <row r="35" spans="1:31" x14ac:dyDescent="0.25">
      <c r="A35" s="30" t="s">
        <v>233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>
        <v>11356</v>
      </c>
      <c r="M35" s="11"/>
      <c r="N35" s="11"/>
      <c r="O35" s="11"/>
      <c r="P35" s="11"/>
      <c r="Q35" s="11"/>
      <c r="R35" s="11"/>
      <c r="S35" s="11">
        <v>688472</v>
      </c>
      <c r="T35" s="11">
        <v>79791</v>
      </c>
      <c r="U35" s="11"/>
      <c r="V35" s="11">
        <v>12582</v>
      </c>
      <c r="W35" s="11"/>
      <c r="X35" s="11"/>
      <c r="Y35" s="11"/>
      <c r="Z35" s="11"/>
      <c r="AA35" s="11"/>
      <c r="AB35" s="11">
        <v>319405</v>
      </c>
      <c r="AC35" s="11">
        <v>102870</v>
      </c>
      <c r="AD35" s="11">
        <v>373</v>
      </c>
      <c r="AE35" s="12">
        <f>SUM(B35:AD35)</f>
        <v>1214849</v>
      </c>
    </row>
    <row r="36" spans="1:31" x14ac:dyDescent="0.25">
      <c r="A36" s="30" t="s">
        <v>234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>
        <v>9529</v>
      </c>
      <c r="M36" s="11"/>
      <c r="N36" s="11"/>
      <c r="O36" s="11"/>
      <c r="P36" s="11"/>
      <c r="Q36" s="11"/>
      <c r="R36" s="11"/>
      <c r="S36" s="11">
        <v>638128</v>
      </c>
      <c r="T36" s="11">
        <v>74599</v>
      </c>
      <c r="U36" s="11"/>
      <c r="V36" s="11">
        <v>703</v>
      </c>
      <c r="W36" s="11"/>
      <c r="X36" s="11"/>
      <c r="Y36" s="11"/>
      <c r="Z36" s="11"/>
      <c r="AA36" s="11"/>
      <c r="AB36" s="11">
        <v>309015</v>
      </c>
      <c r="AC36" s="11">
        <v>93080</v>
      </c>
      <c r="AD36" s="11">
        <v>-653</v>
      </c>
      <c r="AE36" s="12">
        <f>SUM(B36:AD36)</f>
        <v>1124401</v>
      </c>
    </row>
    <row r="37" spans="1:31" x14ac:dyDescent="0.25">
      <c r="A37" s="31"/>
    </row>
    <row r="38" spans="1:31" x14ac:dyDescent="0.25">
      <c r="A38" s="32" t="s">
        <v>231</v>
      </c>
    </row>
    <row r="39" spans="1:31" x14ac:dyDescent="0.25">
      <c r="A39" s="4" t="s">
        <v>0</v>
      </c>
      <c r="B39" s="45" t="s">
        <v>1</v>
      </c>
      <c r="C39" s="45" t="s">
        <v>2</v>
      </c>
      <c r="D39" s="45" t="s">
        <v>3</v>
      </c>
      <c r="E39" s="45" t="s">
        <v>4</v>
      </c>
      <c r="F39" s="45" t="s">
        <v>5</v>
      </c>
      <c r="G39" s="45" t="s">
        <v>6</v>
      </c>
      <c r="H39" s="45" t="s">
        <v>7</v>
      </c>
      <c r="I39" s="45" t="s">
        <v>8</v>
      </c>
      <c r="J39" s="45" t="s">
        <v>9</v>
      </c>
      <c r="K39" s="45" t="s">
        <v>10</v>
      </c>
      <c r="L39" s="45" t="s">
        <v>11</v>
      </c>
      <c r="M39" s="45" t="s">
        <v>12</v>
      </c>
      <c r="N39" s="45" t="s">
        <v>13</v>
      </c>
      <c r="O39" s="45" t="s">
        <v>14</v>
      </c>
      <c r="P39" s="45" t="s">
        <v>15</v>
      </c>
      <c r="Q39" s="45" t="s">
        <v>16</v>
      </c>
      <c r="R39" s="45" t="s">
        <v>17</v>
      </c>
      <c r="S39" s="45" t="s">
        <v>18</v>
      </c>
      <c r="T39" s="45" t="s">
        <v>19</v>
      </c>
      <c r="U39" s="45" t="s">
        <v>20</v>
      </c>
      <c r="V39" s="45" t="s">
        <v>21</v>
      </c>
      <c r="W39" s="45" t="s">
        <v>22</v>
      </c>
      <c r="X39" s="45" t="s">
        <v>23</v>
      </c>
      <c r="Y39" s="45" t="s">
        <v>24</v>
      </c>
      <c r="Z39" s="45" t="s">
        <v>25</v>
      </c>
      <c r="AA39" s="45" t="s">
        <v>26</v>
      </c>
      <c r="AB39" s="45" t="s">
        <v>27</v>
      </c>
      <c r="AC39" s="46" t="s">
        <v>28</v>
      </c>
      <c r="AD39" s="45" t="s">
        <v>29</v>
      </c>
      <c r="AE39" s="45" t="s">
        <v>30</v>
      </c>
    </row>
    <row r="40" spans="1:31" x14ac:dyDescent="0.25">
      <c r="A40" s="30" t="s">
        <v>233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>
        <v>9858</v>
      </c>
      <c r="M40" s="11"/>
      <c r="N40" s="11"/>
      <c r="O40" s="11"/>
      <c r="P40" s="11"/>
      <c r="Q40" s="11"/>
      <c r="R40" s="11"/>
      <c r="S40" s="11">
        <v>5950</v>
      </c>
      <c r="T40" s="11">
        <v>8128</v>
      </c>
      <c r="U40" s="11"/>
      <c r="V40" s="11">
        <v>16</v>
      </c>
      <c r="W40" s="11"/>
      <c r="X40" s="11"/>
      <c r="Y40" s="11"/>
      <c r="Z40" s="11"/>
      <c r="AA40" s="11"/>
      <c r="AB40" s="11">
        <v>761</v>
      </c>
      <c r="AC40" s="11">
        <v>9416</v>
      </c>
      <c r="AD40" s="11"/>
      <c r="AE40" s="12">
        <f>SUM(B40:AD40)</f>
        <v>34129</v>
      </c>
    </row>
    <row r="41" spans="1:31" x14ac:dyDescent="0.25">
      <c r="A41" s="30" t="s">
        <v>234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>
        <v>81779</v>
      </c>
      <c r="M41" s="11"/>
      <c r="N41" s="11"/>
      <c r="O41" s="11"/>
      <c r="P41" s="11"/>
      <c r="Q41" s="11"/>
      <c r="R41" s="11"/>
      <c r="S41" s="11">
        <v>33530</v>
      </c>
      <c r="T41" s="11">
        <v>16909</v>
      </c>
      <c r="U41" s="11"/>
      <c r="V41" s="11">
        <v>-3555</v>
      </c>
      <c r="W41" s="11"/>
      <c r="X41" s="11"/>
      <c r="Y41" s="11"/>
      <c r="Z41" s="11"/>
      <c r="AA41" s="11"/>
      <c r="AB41" s="11">
        <v>-916</v>
      </c>
      <c r="AC41" s="11">
        <v>-7547</v>
      </c>
      <c r="AD41" s="11"/>
      <c r="AE41" s="12">
        <f>SUM(B41:AD41)</f>
        <v>120200</v>
      </c>
    </row>
    <row r="42" spans="1:31" x14ac:dyDescent="0.25">
      <c r="A42" s="28"/>
    </row>
    <row r="43" spans="1:31" x14ac:dyDescent="0.25">
      <c r="A43" s="29" t="s">
        <v>232</v>
      </c>
    </row>
    <row r="44" spans="1:31" x14ac:dyDescent="0.25">
      <c r="A44" s="4" t="s">
        <v>0</v>
      </c>
      <c r="B44" s="45" t="s">
        <v>1</v>
      </c>
      <c r="C44" s="45" t="s">
        <v>2</v>
      </c>
      <c r="D44" s="45" t="s">
        <v>3</v>
      </c>
      <c r="E44" s="45" t="s">
        <v>4</v>
      </c>
      <c r="F44" s="45" t="s">
        <v>5</v>
      </c>
      <c r="G44" s="45" t="s">
        <v>6</v>
      </c>
      <c r="H44" s="45" t="s">
        <v>7</v>
      </c>
      <c r="I44" s="45" t="s">
        <v>8</v>
      </c>
      <c r="J44" s="45" t="s">
        <v>9</v>
      </c>
      <c r="K44" s="45" t="s">
        <v>10</v>
      </c>
      <c r="L44" s="45" t="s">
        <v>11</v>
      </c>
      <c r="M44" s="45" t="s">
        <v>12</v>
      </c>
      <c r="N44" s="45" t="s">
        <v>13</v>
      </c>
      <c r="O44" s="45" t="s">
        <v>14</v>
      </c>
      <c r="P44" s="45" t="s">
        <v>15</v>
      </c>
      <c r="Q44" s="45" t="s">
        <v>16</v>
      </c>
      <c r="R44" s="45" t="s">
        <v>17</v>
      </c>
      <c r="S44" s="45" t="s">
        <v>18</v>
      </c>
      <c r="T44" s="45" t="s">
        <v>19</v>
      </c>
      <c r="U44" s="45" t="s">
        <v>20</v>
      </c>
      <c r="V44" s="45" t="s">
        <v>21</v>
      </c>
      <c r="W44" s="45" t="s">
        <v>22</v>
      </c>
      <c r="X44" s="45" t="s">
        <v>23</v>
      </c>
      <c r="Y44" s="45" t="s">
        <v>24</v>
      </c>
      <c r="Z44" s="45" t="s">
        <v>25</v>
      </c>
      <c r="AA44" s="45" t="s">
        <v>26</v>
      </c>
      <c r="AB44" s="45" t="s">
        <v>27</v>
      </c>
      <c r="AC44" s="46" t="s">
        <v>28</v>
      </c>
      <c r="AD44" s="45" t="s">
        <v>29</v>
      </c>
      <c r="AE44" s="45" t="s">
        <v>30</v>
      </c>
    </row>
    <row r="45" spans="1:31" x14ac:dyDescent="0.25">
      <c r="A45" s="30" t="s">
        <v>233</v>
      </c>
      <c r="B45" s="11">
        <f t="shared" ref="B45:AD45" si="0">B50-B40-B35-B30-B25-B20-B15-B10-B5</f>
        <v>251452</v>
      </c>
      <c r="C45" s="11">
        <f t="shared" si="0"/>
        <v>1125161</v>
      </c>
      <c r="D45" s="11">
        <f t="shared" si="0"/>
        <v>3080749</v>
      </c>
      <c r="E45" s="11">
        <f t="shared" si="0"/>
        <v>567561</v>
      </c>
      <c r="F45" s="11">
        <f t="shared" si="0"/>
        <v>894697</v>
      </c>
      <c r="G45" s="11">
        <f t="shared" si="0"/>
        <v>129463</v>
      </c>
      <c r="H45" s="11">
        <f t="shared" si="0"/>
        <v>28276.86</v>
      </c>
      <c r="I45" s="11">
        <f t="shared" si="0"/>
        <v>792571</v>
      </c>
      <c r="J45" s="11">
        <f t="shared" si="0"/>
        <v>0</v>
      </c>
      <c r="K45" s="11">
        <f t="shared" si="0"/>
        <v>223736</v>
      </c>
      <c r="L45" s="11">
        <f t="shared" si="0"/>
        <v>360055</v>
      </c>
      <c r="M45" s="11">
        <f t="shared" si="0"/>
        <v>1289697</v>
      </c>
      <c r="N45" s="11">
        <f t="shared" si="0"/>
        <v>0</v>
      </c>
      <c r="O45" s="11">
        <f t="shared" si="0"/>
        <v>172575</v>
      </c>
      <c r="P45" s="11">
        <f t="shared" si="0"/>
        <v>196691</v>
      </c>
      <c r="Q45" s="11">
        <f t="shared" si="0"/>
        <v>0</v>
      </c>
      <c r="R45" s="11">
        <f t="shared" si="0"/>
        <v>5823718</v>
      </c>
      <c r="S45" s="11">
        <f t="shared" si="0"/>
        <v>1039076</v>
      </c>
      <c r="T45" s="11">
        <f t="shared" si="0"/>
        <v>640246</v>
      </c>
      <c r="U45" s="11">
        <f t="shared" si="0"/>
        <v>37330</v>
      </c>
      <c r="V45" s="11">
        <f t="shared" si="0"/>
        <v>32618</v>
      </c>
      <c r="W45" s="11">
        <f t="shared" si="0"/>
        <v>611692</v>
      </c>
      <c r="X45" s="11">
        <f t="shared" si="0"/>
        <v>974535</v>
      </c>
      <c r="Y45" s="11">
        <f t="shared" si="0"/>
        <v>1439107</v>
      </c>
      <c r="Z45" s="11">
        <f t="shared" si="0"/>
        <v>411102</v>
      </c>
      <c r="AA45" s="11">
        <f t="shared" si="0"/>
        <v>2216965</v>
      </c>
      <c r="AB45" s="11">
        <f t="shared" si="0"/>
        <v>113430</v>
      </c>
      <c r="AC45" s="11">
        <f t="shared" si="0"/>
        <v>679875</v>
      </c>
      <c r="AD45" s="11">
        <f t="shared" si="0"/>
        <v>98961</v>
      </c>
      <c r="AE45" s="12">
        <f>SUM(B45:AD45)</f>
        <v>23231339.859999999</v>
      </c>
    </row>
    <row r="46" spans="1:31" x14ac:dyDescent="0.25">
      <c r="A46" s="30" t="s">
        <v>234</v>
      </c>
      <c r="B46" s="11">
        <f t="shared" ref="B46:AD46" si="1">B51-B41-B36-B31-B26-B21-B16-B11-B6</f>
        <v>-1253228</v>
      </c>
      <c r="C46" s="11">
        <f t="shared" si="1"/>
        <v>501893</v>
      </c>
      <c r="D46" s="11">
        <f t="shared" si="1"/>
        <v>939289</v>
      </c>
      <c r="E46" s="11">
        <f t="shared" si="1"/>
        <v>326931</v>
      </c>
      <c r="F46" s="11">
        <f t="shared" si="1"/>
        <v>339561</v>
      </c>
      <c r="G46" s="11">
        <f t="shared" si="1"/>
        <v>120031</v>
      </c>
      <c r="H46" s="11">
        <f t="shared" si="1"/>
        <v>-677101.89</v>
      </c>
      <c r="I46" s="11">
        <f t="shared" si="1"/>
        <v>118733</v>
      </c>
      <c r="J46" s="11">
        <f t="shared" si="1"/>
        <v>0</v>
      </c>
      <c r="K46" s="11">
        <f t="shared" si="1"/>
        <v>91727</v>
      </c>
      <c r="L46" s="11">
        <f t="shared" si="1"/>
        <v>-252727</v>
      </c>
      <c r="M46" s="11">
        <f t="shared" si="1"/>
        <v>826120</v>
      </c>
      <c r="N46" s="11">
        <f t="shared" si="1"/>
        <v>-1</v>
      </c>
      <c r="O46" s="11">
        <f t="shared" si="1"/>
        <v>103054</v>
      </c>
      <c r="P46" s="11">
        <f t="shared" si="1"/>
        <v>115089</v>
      </c>
      <c r="Q46" s="11">
        <f t="shared" si="1"/>
        <v>0</v>
      </c>
      <c r="R46" s="11">
        <f t="shared" si="1"/>
        <v>5339771</v>
      </c>
      <c r="S46" s="11">
        <f t="shared" si="1"/>
        <v>982272</v>
      </c>
      <c r="T46" s="11">
        <f t="shared" si="1"/>
        <v>676012</v>
      </c>
      <c r="U46" s="11">
        <f t="shared" si="1"/>
        <v>44696</v>
      </c>
      <c r="V46" s="11">
        <f t="shared" si="1"/>
        <v>-109051</v>
      </c>
      <c r="W46" s="11">
        <f t="shared" si="1"/>
        <v>-245819</v>
      </c>
      <c r="X46" s="11">
        <f t="shared" si="1"/>
        <v>564486</v>
      </c>
      <c r="Y46" s="11">
        <f t="shared" si="1"/>
        <v>955925</v>
      </c>
      <c r="Z46" s="11">
        <f t="shared" si="1"/>
        <v>298299</v>
      </c>
      <c r="AA46" s="11">
        <f t="shared" si="1"/>
        <v>610586</v>
      </c>
      <c r="AB46" s="11">
        <f t="shared" si="1"/>
        <v>57622</v>
      </c>
      <c r="AC46" s="11">
        <f t="shared" si="1"/>
        <v>610346</v>
      </c>
      <c r="AD46" s="11">
        <f t="shared" si="1"/>
        <v>-191519</v>
      </c>
      <c r="AE46" s="12">
        <f>SUM(B46:AD46)</f>
        <v>10892996.109999999</v>
      </c>
    </row>
    <row r="47" spans="1:31" x14ac:dyDescent="0.25">
      <c r="A47" s="28"/>
    </row>
    <row r="48" spans="1:31" x14ac:dyDescent="0.25">
      <c r="A48" s="29" t="s">
        <v>51</v>
      </c>
    </row>
    <row r="49" spans="1:31" x14ac:dyDescent="0.25">
      <c r="A49" s="4" t="s">
        <v>0</v>
      </c>
      <c r="B49" s="45" t="s">
        <v>1</v>
      </c>
      <c r="C49" s="45" t="s">
        <v>2</v>
      </c>
      <c r="D49" s="45" t="s">
        <v>3</v>
      </c>
      <c r="E49" s="45" t="s">
        <v>4</v>
      </c>
      <c r="F49" s="45" t="s">
        <v>5</v>
      </c>
      <c r="G49" s="45" t="s">
        <v>6</v>
      </c>
      <c r="H49" s="45" t="s">
        <v>7</v>
      </c>
      <c r="I49" s="45" t="s">
        <v>8</v>
      </c>
      <c r="J49" s="45" t="s">
        <v>9</v>
      </c>
      <c r="K49" s="45" t="s">
        <v>10</v>
      </c>
      <c r="L49" s="45" t="s">
        <v>11</v>
      </c>
      <c r="M49" s="45" t="s">
        <v>12</v>
      </c>
      <c r="N49" s="45" t="s">
        <v>13</v>
      </c>
      <c r="O49" s="45" t="s">
        <v>14</v>
      </c>
      <c r="P49" s="45" t="s">
        <v>15</v>
      </c>
      <c r="Q49" s="45" t="s">
        <v>16</v>
      </c>
      <c r="R49" s="45" t="s">
        <v>17</v>
      </c>
      <c r="S49" s="45" t="s">
        <v>18</v>
      </c>
      <c r="T49" s="45" t="s">
        <v>19</v>
      </c>
      <c r="U49" s="45" t="s">
        <v>20</v>
      </c>
      <c r="V49" s="45" t="s">
        <v>21</v>
      </c>
      <c r="W49" s="45" t="s">
        <v>22</v>
      </c>
      <c r="X49" s="45" t="s">
        <v>23</v>
      </c>
      <c r="Y49" s="45" t="s">
        <v>24</v>
      </c>
      <c r="Z49" s="45" t="s">
        <v>25</v>
      </c>
      <c r="AA49" s="45" t="s">
        <v>26</v>
      </c>
      <c r="AB49" s="45" t="s">
        <v>27</v>
      </c>
      <c r="AC49" s="46" t="s">
        <v>28</v>
      </c>
      <c r="AD49" s="45" t="s">
        <v>29</v>
      </c>
      <c r="AE49" s="45" t="s">
        <v>30</v>
      </c>
    </row>
    <row r="50" spans="1:31" x14ac:dyDescent="0.25">
      <c r="A50" s="30" t="s">
        <v>233</v>
      </c>
      <c r="B50" s="11">
        <v>251452</v>
      </c>
      <c r="C50" s="11">
        <v>1125161</v>
      </c>
      <c r="D50" s="11">
        <v>3080749</v>
      </c>
      <c r="E50" s="11">
        <v>567561</v>
      </c>
      <c r="F50" s="11">
        <v>894697</v>
      </c>
      <c r="G50" s="11">
        <v>129463</v>
      </c>
      <c r="H50" s="11">
        <v>28276.86</v>
      </c>
      <c r="I50" s="11">
        <v>792571</v>
      </c>
      <c r="J50" s="11"/>
      <c r="K50" s="11">
        <v>223736</v>
      </c>
      <c r="L50" s="11">
        <v>3492776</v>
      </c>
      <c r="M50" s="11">
        <v>1410046</v>
      </c>
      <c r="N50" s="11">
        <v>2320</v>
      </c>
      <c r="O50" s="11">
        <v>172575</v>
      </c>
      <c r="P50" s="11">
        <v>196691</v>
      </c>
      <c r="Q50" s="11">
        <v>484405</v>
      </c>
      <c r="R50" s="11">
        <v>6670354</v>
      </c>
      <c r="S50" s="11">
        <v>15110668</v>
      </c>
      <c r="T50" s="11">
        <v>5342439</v>
      </c>
      <c r="U50" s="11">
        <v>37330</v>
      </c>
      <c r="V50" s="11">
        <v>1115645</v>
      </c>
      <c r="W50" s="11">
        <v>611692</v>
      </c>
      <c r="X50" s="11">
        <v>974535</v>
      </c>
      <c r="Y50" s="11">
        <v>1439107</v>
      </c>
      <c r="Z50" s="11">
        <v>411102</v>
      </c>
      <c r="AA50" s="11">
        <v>2216965</v>
      </c>
      <c r="AB50" s="11">
        <v>2016207</v>
      </c>
      <c r="AC50" s="11">
        <v>6304698</v>
      </c>
      <c r="AD50" s="11">
        <v>483558</v>
      </c>
      <c r="AE50" s="12">
        <f>SUM(B50:AD50)</f>
        <v>55586779.859999999</v>
      </c>
    </row>
    <row r="51" spans="1:31" x14ac:dyDescent="0.25">
      <c r="A51" s="30" t="s">
        <v>234</v>
      </c>
      <c r="B51" s="11">
        <v>-1253228</v>
      </c>
      <c r="C51" s="11">
        <v>501893</v>
      </c>
      <c r="D51" s="11">
        <v>939289</v>
      </c>
      <c r="E51" s="11">
        <v>326931</v>
      </c>
      <c r="F51" s="11">
        <v>339561</v>
      </c>
      <c r="G51" s="11">
        <v>120031</v>
      </c>
      <c r="H51" s="11">
        <v>-677101.89</v>
      </c>
      <c r="I51" s="11">
        <v>118733</v>
      </c>
      <c r="J51" s="11"/>
      <c r="K51" s="11">
        <v>91727</v>
      </c>
      <c r="L51" s="11">
        <v>-3279732</v>
      </c>
      <c r="M51" s="11">
        <v>495392</v>
      </c>
      <c r="N51" s="11">
        <v>2100</v>
      </c>
      <c r="O51" s="11">
        <v>103054</v>
      </c>
      <c r="P51" s="11">
        <v>115089</v>
      </c>
      <c r="Q51" s="11">
        <v>447973</v>
      </c>
      <c r="R51" s="11">
        <v>6198578</v>
      </c>
      <c r="S51" s="11">
        <v>14037456</v>
      </c>
      <c r="T51" s="11">
        <v>4630997</v>
      </c>
      <c r="U51" s="11">
        <v>44696</v>
      </c>
      <c r="V51" s="11">
        <v>-250385</v>
      </c>
      <c r="W51" s="11">
        <v>-245819</v>
      </c>
      <c r="X51" s="11">
        <v>564486</v>
      </c>
      <c r="Y51" s="11">
        <v>955925</v>
      </c>
      <c r="Z51" s="11">
        <v>298299</v>
      </c>
      <c r="AA51" s="11">
        <v>610586</v>
      </c>
      <c r="AB51" s="11">
        <v>787540</v>
      </c>
      <c r="AC51" s="11">
        <v>5133518</v>
      </c>
      <c r="AD51" s="11">
        <v>70666</v>
      </c>
      <c r="AE51" s="12">
        <f>SUM(B51:AD51)</f>
        <v>31228254.109999999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5.7109375" style="8" customWidth="1"/>
    <col min="2" max="29" width="16" style="8" customWidth="1"/>
    <col min="30" max="30" width="16" style="9" customWidth="1"/>
    <col min="31" max="16384" width="9.140625" style="8"/>
  </cols>
  <sheetData>
    <row r="1" spans="1:30" ht="18.75" x14ac:dyDescent="0.3">
      <c r="A1" s="6" t="s">
        <v>210</v>
      </c>
    </row>
    <row r="2" spans="1:30" x14ac:dyDescent="0.25">
      <c r="A2" s="7" t="s">
        <v>43</v>
      </c>
    </row>
    <row r="3" spans="1:30" x14ac:dyDescent="0.25">
      <c r="A3" s="1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56" t="s">
        <v>18</v>
      </c>
      <c r="S3" s="56" t="s">
        <v>19</v>
      </c>
      <c r="T3" s="56" t="s">
        <v>20</v>
      </c>
      <c r="U3" s="56" t="s">
        <v>21</v>
      </c>
      <c r="V3" s="56" t="s">
        <v>22</v>
      </c>
      <c r="W3" s="56" t="s">
        <v>23</v>
      </c>
      <c r="X3" s="56" t="s">
        <v>24</v>
      </c>
      <c r="Y3" s="56" t="s">
        <v>25</v>
      </c>
      <c r="Z3" s="56" t="s">
        <v>26</v>
      </c>
      <c r="AA3" s="56" t="s">
        <v>27</v>
      </c>
      <c r="AB3" s="57" t="s">
        <v>28</v>
      </c>
      <c r="AC3" s="56" t="s">
        <v>29</v>
      </c>
      <c r="AD3" s="56" t="s">
        <v>30</v>
      </c>
    </row>
    <row r="4" spans="1:30" x14ac:dyDescent="0.25">
      <c r="A4" s="26" t="s">
        <v>211</v>
      </c>
      <c r="B4" s="11">
        <v>366570</v>
      </c>
      <c r="C4" s="11">
        <v>1198287</v>
      </c>
      <c r="D4" s="11">
        <v>3217791</v>
      </c>
      <c r="E4" s="11">
        <v>1115628</v>
      </c>
      <c r="F4" s="11">
        <v>968409</v>
      </c>
      <c r="G4" s="11">
        <v>600950</v>
      </c>
      <c r="H4" s="11">
        <v>1067540.28</v>
      </c>
      <c r="I4" s="11">
        <v>1153911</v>
      </c>
      <c r="J4" s="11">
        <v>615473</v>
      </c>
      <c r="K4" s="11">
        <v>3599363</v>
      </c>
      <c r="L4" s="11">
        <v>1077972</v>
      </c>
      <c r="M4" s="11">
        <v>90851</v>
      </c>
      <c r="N4" s="11">
        <v>802498</v>
      </c>
      <c r="O4" s="11">
        <v>364522</v>
      </c>
      <c r="P4" s="11">
        <v>1102361</v>
      </c>
      <c r="Q4" s="11">
        <v>22378831</v>
      </c>
      <c r="R4" s="11">
        <v>24268359</v>
      </c>
      <c r="S4" s="11">
        <v>20528425</v>
      </c>
      <c r="T4" s="11">
        <v>83480</v>
      </c>
      <c r="U4" s="11">
        <v>2026824</v>
      </c>
      <c r="V4" s="11">
        <v>1159687</v>
      </c>
      <c r="W4" s="11">
        <v>1105412</v>
      </c>
      <c r="X4" s="11">
        <v>1830258</v>
      </c>
      <c r="Y4" s="11">
        <v>548625</v>
      </c>
      <c r="Z4" s="11">
        <v>3676247</v>
      </c>
      <c r="AA4" s="11">
        <v>1655920</v>
      </c>
      <c r="AB4" s="11">
        <v>21501122</v>
      </c>
      <c r="AC4" s="11">
        <v>539440</v>
      </c>
      <c r="AD4" s="12">
        <f>SUM(B4:AC4)</f>
        <v>118644756.28</v>
      </c>
    </row>
    <row r="5" spans="1:30" x14ac:dyDescent="0.25">
      <c r="A5" s="26" t="s">
        <v>212</v>
      </c>
      <c r="B5" s="11">
        <v>24958</v>
      </c>
      <c r="C5" s="11">
        <v>78513</v>
      </c>
      <c r="D5" s="11">
        <v>224465</v>
      </c>
      <c r="E5" s="11">
        <v>100107</v>
      </c>
      <c r="F5" s="11">
        <v>144001</v>
      </c>
      <c r="G5" s="11">
        <v>64935</v>
      </c>
      <c r="H5" s="11">
        <v>83929.87</v>
      </c>
      <c r="I5" s="11">
        <v>70131</v>
      </c>
      <c r="J5" s="11">
        <v>45118</v>
      </c>
      <c r="K5" s="11">
        <v>303831</v>
      </c>
      <c r="L5" s="11">
        <v>99267</v>
      </c>
      <c r="M5" s="11">
        <v>3344</v>
      </c>
      <c r="N5" s="11">
        <v>54634</v>
      </c>
      <c r="O5" s="11">
        <v>39355</v>
      </c>
      <c r="P5" s="11">
        <v>72737</v>
      </c>
      <c r="Q5" s="11">
        <v>515505</v>
      </c>
      <c r="R5" s="11">
        <v>633761</v>
      </c>
      <c r="S5" s="11">
        <v>410807</v>
      </c>
      <c r="T5" s="11">
        <v>6363</v>
      </c>
      <c r="U5" s="11">
        <v>129660</v>
      </c>
      <c r="V5" s="11">
        <v>132264</v>
      </c>
      <c r="W5" s="11">
        <v>61519</v>
      </c>
      <c r="X5" s="11">
        <v>227291</v>
      </c>
      <c r="Y5" s="11">
        <v>72031</v>
      </c>
      <c r="Z5" s="11">
        <v>110064</v>
      </c>
      <c r="AA5" s="11">
        <v>103135</v>
      </c>
      <c r="AB5" s="11">
        <v>687284</v>
      </c>
      <c r="AC5" s="11">
        <v>54893</v>
      </c>
      <c r="AD5" s="12">
        <f>SUM(B5:AC5)</f>
        <v>4553902.87</v>
      </c>
    </row>
    <row r="6" spans="1:30" x14ac:dyDescent="0.25">
      <c r="A6" s="26" t="s">
        <v>213</v>
      </c>
      <c r="B6" s="11">
        <v>3555</v>
      </c>
      <c r="C6" s="11">
        <v>10919</v>
      </c>
      <c r="D6" s="11">
        <v>488</v>
      </c>
      <c r="E6" s="11">
        <v>1326154</v>
      </c>
      <c r="F6" s="11">
        <v>36641</v>
      </c>
      <c r="G6" s="11">
        <v>20015</v>
      </c>
      <c r="H6" s="11">
        <v>11512.59</v>
      </c>
      <c r="I6" s="11">
        <v>136691</v>
      </c>
      <c r="J6" s="11">
        <v>1030</v>
      </c>
      <c r="K6" s="11">
        <v>43858</v>
      </c>
      <c r="L6" s="11">
        <v>5279</v>
      </c>
      <c r="M6" s="11">
        <v>235</v>
      </c>
      <c r="N6" s="11">
        <v>25145</v>
      </c>
      <c r="O6" s="11">
        <v>167</v>
      </c>
      <c r="P6" s="11">
        <v>104054</v>
      </c>
      <c r="Q6" s="11">
        <v>61150</v>
      </c>
      <c r="R6" s="11">
        <v>188640</v>
      </c>
      <c r="S6" s="11">
        <v>56385</v>
      </c>
      <c r="T6" s="11">
        <v>961</v>
      </c>
      <c r="U6" s="11"/>
      <c r="V6" s="11"/>
      <c r="W6" s="11">
        <v>1258</v>
      </c>
      <c r="X6" s="11">
        <v>11711</v>
      </c>
      <c r="Y6" s="11">
        <v>4615</v>
      </c>
      <c r="Z6" s="11">
        <v>51766</v>
      </c>
      <c r="AA6" s="11">
        <v>46708</v>
      </c>
      <c r="AB6" s="11">
        <v>69865</v>
      </c>
      <c r="AC6" s="11">
        <v>1164</v>
      </c>
      <c r="AD6" s="12">
        <f>SUM(B6:AC6)</f>
        <v>2219966.59</v>
      </c>
    </row>
    <row r="7" spans="1:30" x14ac:dyDescent="0.25">
      <c r="A7" s="26" t="s">
        <v>214</v>
      </c>
      <c r="B7" s="11">
        <v>79901</v>
      </c>
      <c r="C7" s="11">
        <v>97117</v>
      </c>
      <c r="D7" s="11">
        <v>218269</v>
      </c>
      <c r="E7" s="11">
        <v>203979</v>
      </c>
      <c r="F7" s="11">
        <v>108053</v>
      </c>
      <c r="G7" s="11">
        <v>83094</v>
      </c>
      <c r="H7" s="11">
        <v>177704.09</v>
      </c>
      <c r="I7" s="11">
        <v>167992</v>
      </c>
      <c r="J7" s="11">
        <v>122662</v>
      </c>
      <c r="K7" s="11">
        <v>640612</v>
      </c>
      <c r="L7" s="11">
        <v>311698</v>
      </c>
      <c r="M7" s="11">
        <v>23700</v>
      </c>
      <c r="N7" s="11">
        <v>127189</v>
      </c>
      <c r="O7" s="11">
        <v>28895</v>
      </c>
      <c r="P7" s="11">
        <v>112571</v>
      </c>
      <c r="Q7" s="11">
        <v>788868</v>
      </c>
      <c r="R7" s="11">
        <v>958677</v>
      </c>
      <c r="S7" s="11">
        <v>665343</v>
      </c>
      <c r="T7" s="11">
        <v>23229</v>
      </c>
      <c r="U7" s="11">
        <v>240254</v>
      </c>
      <c r="V7" s="11">
        <v>74560</v>
      </c>
      <c r="W7" s="11">
        <v>126758</v>
      </c>
      <c r="X7" s="11">
        <v>257560</v>
      </c>
      <c r="Y7" s="11">
        <v>65602</v>
      </c>
      <c r="Z7" s="11">
        <v>297663</v>
      </c>
      <c r="AA7" s="11">
        <v>886015</v>
      </c>
      <c r="AB7" s="11">
        <v>784727</v>
      </c>
      <c r="AC7" s="11">
        <v>169442</v>
      </c>
      <c r="AD7" s="12">
        <f>SUM(B7:AC7)</f>
        <v>7842134.0899999999</v>
      </c>
    </row>
    <row r="8" spans="1:30" x14ac:dyDescent="0.25">
      <c r="A8" s="26" t="s">
        <v>215</v>
      </c>
      <c r="B8" s="11">
        <v>14846</v>
      </c>
      <c r="C8" s="11">
        <v>86593</v>
      </c>
      <c r="D8" s="11">
        <v>65924</v>
      </c>
      <c r="E8" s="11">
        <v>60003</v>
      </c>
      <c r="F8" s="11">
        <v>28047</v>
      </c>
      <c r="G8" s="11">
        <v>2470</v>
      </c>
      <c r="H8" s="11">
        <v>112473.69</v>
      </c>
      <c r="I8" s="11">
        <v>143592</v>
      </c>
      <c r="J8" s="11">
        <v>46879</v>
      </c>
      <c r="K8" s="11">
        <v>304868</v>
      </c>
      <c r="L8" s="11">
        <v>111210</v>
      </c>
      <c r="M8" s="11">
        <v>782</v>
      </c>
      <c r="N8" s="11">
        <v>104281</v>
      </c>
      <c r="O8" s="11">
        <v>9722</v>
      </c>
      <c r="P8" s="11">
        <v>141086</v>
      </c>
      <c r="Q8" s="11">
        <v>74863</v>
      </c>
      <c r="R8" s="11">
        <v>1050352</v>
      </c>
      <c r="S8" s="11">
        <v>135447</v>
      </c>
      <c r="T8" s="11">
        <v>3589</v>
      </c>
      <c r="U8" s="11">
        <v>305758</v>
      </c>
      <c r="V8" s="11">
        <v>57920</v>
      </c>
      <c r="W8" s="11">
        <v>40787</v>
      </c>
      <c r="X8" s="11">
        <v>129858</v>
      </c>
      <c r="Y8" s="11">
        <v>21506</v>
      </c>
      <c r="Z8" s="11">
        <v>97363</v>
      </c>
      <c r="AA8" s="11">
        <v>47345</v>
      </c>
      <c r="AB8" s="11">
        <v>231503</v>
      </c>
      <c r="AC8" s="11">
        <v>115454</v>
      </c>
      <c r="AD8" s="12">
        <f>SUM(B8:AC8)</f>
        <v>3544521.69</v>
      </c>
    </row>
    <row r="9" spans="1:30" x14ac:dyDescent="0.25">
      <c r="A9" s="26" t="s">
        <v>216</v>
      </c>
      <c r="B9" s="11">
        <v>5362</v>
      </c>
      <c r="C9" s="11">
        <v>14190</v>
      </c>
      <c r="D9" s="11">
        <v>133391</v>
      </c>
      <c r="E9" s="11">
        <v>28059</v>
      </c>
      <c r="F9" s="11">
        <v>99312</v>
      </c>
      <c r="G9" s="11">
        <v>18195</v>
      </c>
      <c r="H9" s="11">
        <v>11026.99</v>
      </c>
      <c r="I9" s="11">
        <v>58200</v>
      </c>
      <c r="J9" s="11">
        <v>16340</v>
      </c>
      <c r="K9" s="11">
        <v>88853</v>
      </c>
      <c r="L9" s="11">
        <v>69215</v>
      </c>
      <c r="M9" s="11">
        <v>636</v>
      </c>
      <c r="N9" s="11">
        <v>22472</v>
      </c>
      <c r="O9" s="11">
        <v>11033</v>
      </c>
      <c r="P9" s="11">
        <v>22906</v>
      </c>
      <c r="Q9" s="11">
        <v>258387</v>
      </c>
      <c r="R9" s="11">
        <v>393424</v>
      </c>
      <c r="S9" s="11">
        <v>227388</v>
      </c>
      <c r="T9" s="11">
        <v>473</v>
      </c>
      <c r="U9" s="11">
        <v>55588</v>
      </c>
      <c r="V9" s="11">
        <v>39324</v>
      </c>
      <c r="W9" s="11">
        <v>43346</v>
      </c>
      <c r="X9" s="11">
        <v>86966</v>
      </c>
      <c r="Y9" s="11">
        <v>27025</v>
      </c>
      <c r="Z9" s="11">
        <v>170956</v>
      </c>
      <c r="AA9" s="11">
        <v>88071</v>
      </c>
      <c r="AB9" s="11">
        <v>228899</v>
      </c>
      <c r="AC9" s="11">
        <v>31221</v>
      </c>
      <c r="AD9" s="12">
        <f>SUM(B9:AC9)</f>
        <v>2250258.9900000002</v>
      </c>
    </row>
    <row r="10" spans="1:30" x14ac:dyDescent="0.25">
      <c r="A10" s="26" t="s">
        <v>217</v>
      </c>
      <c r="B10" s="11">
        <v>6613</v>
      </c>
      <c r="C10" s="11">
        <v>58056</v>
      </c>
      <c r="D10" s="11">
        <v>187926</v>
      </c>
      <c r="E10" s="11">
        <v>207594</v>
      </c>
      <c r="F10" s="11">
        <v>66678</v>
      </c>
      <c r="G10" s="11">
        <v>44521</v>
      </c>
      <c r="H10" s="11">
        <v>22155.1</v>
      </c>
      <c r="I10" s="11">
        <v>63865</v>
      </c>
      <c r="J10" s="11">
        <v>35832</v>
      </c>
      <c r="K10" s="11">
        <v>398621</v>
      </c>
      <c r="L10" s="11">
        <v>78793</v>
      </c>
      <c r="M10" s="11">
        <v>716</v>
      </c>
      <c r="N10" s="11">
        <v>66466</v>
      </c>
      <c r="O10" s="11">
        <v>13171</v>
      </c>
      <c r="P10" s="11">
        <v>74523</v>
      </c>
      <c r="Q10" s="11">
        <v>201333</v>
      </c>
      <c r="R10" s="11">
        <v>361501</v>
      </c>
      <c r="S10" s="11">
        <v>206583</v>
      </c>
      <c r="T10" s="11">
        <v>2974</v>
      </c>
      <c r="U10" s="11">
        <v>124577</v>
      </c>
      <c r="V10" s="11">
        <v>49160</v>
      </c>
      <c r="W10" s="11">
        <v>80222</v>
      </c>
      <c r="X10" s="11">
        <v>142840</v>
      </c>
      <c r="Y10" s="11">
        <v>36332</v>
      </c>
      <c r="Z10" s="11">
        <v>90180</v>
      </c>
      <c r="AA10" s="11">
        <v>153305</v>
      </c>
      <c r="AB10" s="11">
        <v>291417</v>
      </c>
      <c r="AC10" s="11">
        <v>54012</v>
      </c>
      <c r="AD10" s="12">
        <f>SUM(B10:AC10)</f>
        <v>3119966.1</v>
      </c>
    </row>
    <row r="11" spans="1:30" x14ac:dyDescent="0.25">
      <c r="A11" s="26" t="s">
        <v>218</v>
      </c>
      <c r="B11" s="11">
        <v>8831</v>
      </c>
      <c r="C11" s="11">
        <v>108030</v>
      </c>
      <c r="D11" s="11">
        <v>40432</v>
      </c>
      <c r="E11" s="11">
        <v>221793</v>
      </c>
      <c r="F11" s="11">
        <v>45566</v>
      </c>
      <c r="G11" s="11">
        <v>241956</v>
      </c>
      <c r="H11" s="11">
        <v>49886.31</v>
      </c>
      <c r="I11" s="11">
        <v>135781</v>
      </c>
      <c r="J11" s="11">
        <v>189495</v>
      </c>
      <c r="K11" s="11">
        <v>607895</v>
      </c>
      <c r="L11" s="11">
        <v>1035742</v>
      </c>
      <c r="M11" s="11">
        <v>11037</v>
      </c>
      <c r="N11" s="11">
        <v>95672</v>
      </c>
      <c r="O11" s="11">
        <v>34454</v>
      </c>
      <c r="P11" s="11">
        <v>198423</v>
      </c>
      <c r="Q11" s="11">
        <v>116283</v>
      </c>
      <c r="R11" s="11">
        <v>514791</v>
      </c>
      <c r="S11" s="11">
        <v>143894</v>
      </c>
      <c r="T11" s="11">
        <v>32277</v>
      </c>
      <c r="U11" s="11">
        <v>135887</v>
      </c>
      <c r="V11" s="11">
        <v>314361</v>
      </c>
      <c r="W11" s="11">
        <v>6480</v>
      </c>
      <c r="X11" s="11">
        <v>197077</v>
      </c>
      <c r="Y11" s="11">
        <v>90618</v>
      </c>
      <c r="Z11" s="11">
        <v>95888</v>
      </c>
      <c r="AA11" s="11">
        <v>1368472</v>
      </c>
      <c r="AB11" s="11">
        <v>82588</v>
      </c>
      <c r="AC11" s="11">
        <v>110628</v>
      </c>
      <c r="AD11" s="12">
        <f>SUM(B11:AC11)</f>
        <v>6234237.3100000005</v>
      </c>
    </row>
    <row r="12" spans="1:30" x14ac:dyDescent="0.25">
      <c r="A12" s="26" t="s">
        <v>219</v>
      </c>
      <c r="B12" s="11">
        <v>27384</v>
      </c>
      <c r="C12" s="11">
        <v>554063</v>
      </c>
      <c r="D12" s="11">
        <v>372428</v>
      </c>
      <c r="E12" s="11">
        <v>196674</v>
      </c>
      <c r="F12" s="11">
        <v>545610</v>
      </c>
      <c r="G12" s="11">
        <v>311327</v>
      </c>
      <c r="H12" s="11">
        <v>10043.49</v>
      </c>
      <c r="I12" s="11">
        <v>542670</v>
      </c>
      <c r="J12" s="11">
        <v>554169</v>
      </c>
      <c r="K12" s="11">
        <v>1106149</v>
      </c>
      <c r="L12" s="11">
        <v>155986</v>
      </c>
      <c r="M12" s="11">
        <v>1249</v>
      </c>
      <c r="N12" s="11">
        <v>51273</v>
      </c>
      <c r="O12" s="11">
        <v>8785</v>
      </c>
      <c r="P12" s="11">
        <v>233190</v>
      </c>
      <c r="Q12" s="11">
        <v>193573</v>
      </c>
      <c r="R12" s="11">
        <v>351597</v>
      </c>
      <c r="S12" s="11">
        <v>51714</v>
      </c>
      <c r="T12" s="11">
        <v>641</v>
      </c>
      <c r="U12" s="11">
        <v>2585263</v>
      </c>
      <c r="V12" s="11">
        <v>541958</v>
      </c>
      <c r="W12" s="11">
        <v>73708</v>
      </c>
      <c r="X12" s="11">
        <v>1015245</v>
      </c>
      <c r="Y12" s="11">
        <v>1418</v>
      </c>
      <c r="Z12" s="11">
        <v>469279</v>
      </c>
      <c r="AA12" s="11">
        <v>752588</v>
      </c>
      <c r="AB12" s="11">
        <v>287014</v>
      </c>
      <c r="AC12" s="11">
        <v>172977</v>
      </c>
      <c r="AD12" s="12">
        <f>SUM(B12:AC12)</f>
        <v>11167975.49</v>
      </c>
    </row>
    <row r="13" spans="1:30" x14ac:dyDescent="0.25">
      <c r="A13" s="26" t="s">
        <v>220</v>
      </c>
      <c r="B13" s="11"/>
      <c r="C13" s="11">
        <v>19364</v>
      </c>
      <c r="D13" s="11">
        <v>59938</v>
      </c>
      <c r="E13" s="11">
        <v>14767</v>
      </c>
      <c r="F13" s="11">
        <v>22874</v>
      </c>
      <c r="G13" s="11">
        <v>5355</v>
      </c>
      <c r="H13" s="11">
        <v>68837.13</v>
      </c>
      <c r="I13" s="11">
        <v>11599</v>
      </c>
      <c r="J13" s="11">
        <v>4732</v>
      </c>
      <c r="K13" s="11">
        <v>144961</v>
      </c>
      <c r="L13" s="11">
        <v>3718083</v>
      </c>
      <c r="M13" s="11">
        <v>33</v>
      </c>
      <c r="N13" s="11">
        <v>2069</v>
      </c>
      <c r="O13" s="11">
        <v>4829</v>
      </c>
      <c r="P13" s="11">
        <v>17282</v>
      </c>
      <c r="Q13" s="11">
        <v>15219</v>
      </c>
      <c r="R13" s="11">
        <v>34462</v>
      </c>
      <c r="S13" s="11">
        <v>28168</v>
      </c>
      <c r="T13" s="11">
        <v>87</v>
      </c>
      <c r="U13" s="11">
        <v>29379</v>
      </c>
      <c r="V13" s="11">
        <v>13803</v>
      </c>
      <c r="W13" s="11">
        <v>21001</v>
      </c>
      <c r="X13" s="11">
        <v>7296</v>
      </c>
      <c r="Y13" s="11">
        <v>5773</v>
      </c>
      <c r="Z13" s="11">
        <v>24201</v>
      </c>
      <c r="AA13" s="11">
        <v>98303</v>
      </c>
      <c r="AB13" s="11">
        <v>63230</v>
      </c>
      <c r="AC13" s="11">
        <v>652</v>
      </c>
      <c r="AD13" s="12">
        <f>SUM(B13:AC13)</f>
        <v>4436297.13</v>
      </c>
    </row>
    <row r="14" spans="1:30" x14ac:dyDescent="0.25">
      <c r="A14" s="27" t="s">
        <v>41</v>
      </c>
      <c r="B14" s="11">
        <f t="shared" ref="B14:AC14" si="0">B17-B16-B15-B13-B12-B11-B10-B9-B8-B7-B6-B5-B4</f>
        <v>280450</v>
      </c>
      <c r="C14" s="11">
        <f t="shared" si="0"/>
        <v>519226</v>
      </c>
      <c r="D14" s="11">
        <f t="shared" si="0"/>
        <v>6540234</v>
      </c>
      <c r="E14" s="11">
        <f t="shared" si="0"/>
        <v>1322820</v>
      </c>
      <c r="F14" s="11">
        <f t="shared" si="0"/>
        <v>3198713</v>
      </c>
      <c r="G14" s="11">
        <f t="shared" si="0"/>
        <v>403327</v>
      </c>
      <c r="H14" s="11">
        <f t="shared" si="0"/>
        <v>205131.93999999971</v>
      </c>
      <c r="I14" s="11">
        <f t="shared" si="0"/>
        <v>1375054</v>
      </c>
      <c r="J14" s="11">
        <f t="shared" si="0"/>
        <v>293668</v>
      </c>
      <c r="K14" s="11">
        <f t="shared" si="0"/>
        <v>9307756</v>
      </c>
      <c r="L14" s="11">
        <f t="shared" si="0"/>
        <v>456615</v>
      </c>
      <c r="M14" s="11">
        <f t="shared" si="0"/>
        <v>12747</v>
      </c>
      <c r="N14" s="11">
        <f t="shared" si="0"/>
        <v>767695</v>
      </c>
      <c r="O14" s="11">
        <f t="shared" si="0"/>
        <v>743390</v>
      </c>
      <c r="P14" s="11">
        <f t="shared" si="0"/>
        <v>18703</v>
      </c>
      <c r="Q14" s="11">
        <f t="shared" si="0"/>
        <v>8805105</v>
      </c>
      <c r="R14" s="11">
        <f t="shared" si="0"/>
        <v>6079238</v>
      </c>
      <c r="S14" s="11">
        <f t="shared" si="0"/>
        <v>3046811</v>
      </c>
      <c r="T14" s="11">
        <f t="shared" si="0"/>
        <v>16358</v>
      </c>
      <c r="U14" s="11">
        <f t="shared" si="0"/>
        <v>690450</v>
      </c>
      <c r="V14" s="11">
        <f t="shared" si="0"/>
        <v>89008</v>
      </c>
      <c r="W14" s="11">
        <f t="shared" si="0"/>
        <v>2841777</v>
      </c>
      <c r="X14" s="11">
        <f t="shared" si="0"/>
        <v>464759</v>
      </c>
      <c r="Y14" s="11">
        <f t="shared" si="0"/>
        <v>539082</v>
      </c>
      <c r="Z14" s="11">
        <f t="shared" si="0"/>
        <v>-719090</v>
      </c>
      <c r="AA14" s="11">
        <f t="shared" si="0"/>
        <v>337768</v>
      </c>
      <c r="AB14" s="11">
        <f t="shared" si="0"/>
        <v>4507329</v>
      </c>
      <c r="AC14" s="11">
        <f t="shared" si="0"/>
        <v>104943</v>
      </c>
      <c r="AD14" s="12">
        <f>SUM(B14:AC14)</f>
        <v>52249067.939999998</v>
      </c>
    </row>
    <row r="15" spans="1:30" x14ac:dyDescent="0.25">
      <c r="A15" s="26" t="s">
        <v>221</v>
      </c>
      <c r="B15" s="11">
        <v>97729</v>
      </c>
      <c r="C15" s="11">
        <v>98103</v>
      </c>
      <c r="D15" s="11">
        <v>221699</v>
      </c>
      <c r="E15" s="11">
        <v>95957</v>
      </c>
      <c r="F15" s="11">
        <v>156503</v>
      </c>
      <c r="G15" s="11">
        <v>149</v>
      </c>
      <c r="H15" s="11">
        <v>35423.33</v>
      </c>
      <c r="I15" s="11">
        <v>65582</v>
      </c>
      <c r="J15" s="11">
        <v>242959</v>
      </c>
      <c r="K15" s="11">
        <v>565275</v>
      </c>
      <c r="L15" s="11">
        <v>91730</v>
      </c>
      <c r="M15" s="11">
        <v>13336</v>
      </c>
      <c r="N15" s="11">
        <v>153466</v>
      </c>
      <c r="O15" s="11"/>
      <c r="P15" s="11">
        <v>114512</v>
      </c>
      <c r="Q15" s="11">
        <v>651196</v>
      </c>
      <c r="R15" s="11">
        <v>318034</v>
      </c>
      <c r="S15" s="11">
        <v>178419</v>
      </c>
      <c r="T15" s="11">
        <v>3644</v>
      </c>
      <c r="U15" s="11">
        <v>174338</v>
      </c>
      <c r="V15" s="11">
        <v>98468</v>
      </c>
      <c r="W15" s="11">
        <v>128290</v>
      </c>
      <c r="X15" s="11">
        <v>522240</v>
      </c>
      <c r="Y15" s="11">
        <v>35970</v>
      </c>
      <c r="Z15" s="11">
        <v>174963</v>
      </c>
      <c r="AA15" s="11">
        <v>151397</v>
      </c>
      <c r="AB15" s="11">
        <v>503036</v>
      </c>
      <c r="AC15" s="11">
        <v>66114</v>
      </c>
      <c r="AD15" s="12">
        <f>SUM(B15:AC15)</f>
        <v>4958532.33</v>
      </c>
    </row>
    <row r="16" spans="1:30" x14ac:dyDescent="0.25">
      <c r="A16" s="26" t="s">
        <v>222</v>
      </c>
      <c r="B16" s="11"/>
      <c r="C16" s="11">
        <v>15610</v>
      </c>
      <c r="D16" s="11">
        <v>124112</v>
      </c>
      <c r="E16" s="11"/>
      <c r="F16" s="11"/>
      <c r="G16" s="11"/>
      <c r="H16" s="11"/>
      <c r="I16" s="11">
        <v>54319</v>
      </c>
      <c r="J16" s="11"/>
      <c r="K16" s="11"/>
      <c r="L16" s="11">
        <v>79501</v>
      </c>
      <c r="M16" s="11"/>
      <c r="N16" s="11"/>
      <c r="O16" s="11"/>
      <c r="P16" s="11"/>
      <c r="Q16" s="11">
        <v>1017868</v>
      </c>
      <c r="R16" s="11"/>
      <c r="S16" s="11">
        <v>121525</v>
      </c>
      <c r="T16" s="11"/>
      <c r="U16" s="11">
        <v>81821</v>
      </c>
      <c r="V16" s="11"/>
      <c r="W16" s="11">
        <v>14504</v>
      </c>
      <c r="X16" s="11">
        <v>41649</v>
      </c>
      <c r="Y16" s="11"/>
      <c r="Z16" s="11"/>
      <c r="AA16" s="11">
        <v>27419</v>
      </c>
      <c r="AB16" s="11">
        <v>2645</v>
      </c>
      <c r="AC16" s="11">
        <v>614861</v>
      </c>
      <c r="AD16" s="12">
        <f>SUM(B16:AC16)</f>
        <v>2195834</v>
      </c>
    </row>
    <row r="17" spans="1:30" s="9" customFormat="1" x14ac:dyDescent="0.25">
      <c r="A17" s="4" t="s">
        <v>51</v>
      </c>
      <c r="B17" s="12">
        <v>916199</v>
      </c>
      <c r="C17" s="12">
        <v>2858071</v>
      </c>
      <c r="D17" s="12">
        <v>11407097</v>
      </c>
      <c r="E17" s="12">
        <v>4893535</v>
      </c>
      <c r="F17" s="12">
        <v>5420407</v>
      </c>
      <c r="G17" s="12">
        <v>1796294</v>
      </c>
      <c r="H17" s="12">
        <v>1855664.81</v>
      </c>
      <c r="I17" s="12">
        <v>3979387</v>
      </c>
      <c r="J17" s="12">
        <v>2168357</v>
      </c>
      <c r="K17" s="12">
        <v>17112042</v>
      </c>
      <c r="L17" s="12">
        <v>7291091</v>
      </c>
      <c r="M17" s="12">
        <v>158666</v>
      </c>
      <c r="N17" s="12">
        <v>2272860</v>
      </c>
      <c r="O17" s="12">
        <v>1258323</v>
      </c>
      <c r="P17" s="12">
        <v>2212348</v>
      </c>
      <c r="Q17" s="12">
        <v>35078181</v>
      </c>
      <c r="R17" s="12">
        <v>35152836</v>
      </c>
      <c r="S17" s="12">
        <v>25800909</v>
      </c>
      <c r="T17" s="12">
        <v>174076</v>
      </c>
      <c r="U17" s="12">
        <v>6579799</v>
      </c>
      <c r="V17" s="12">
        <v>2570513</v>
      </c>
      <c r="W17" s="12">
        <v>4545062</v>
      </c>
      <c r="X17" s="12">
        <v>4934750</v>
      </c>
      <c r="Y17" s="12">
        <v>1448597</v>
      </c>
      <c r="Z17" s="12">
        <v>4539480</v>
      </c>
      <c r="AA17" s="12">
        <v>5716446</v>
      </c>
      <c r="AB17" s="12">
        <v>29240659</v>
      </c>
      <c r="AC17" s="12">
        <v>2035801</v>
      </c>
      <c r="AD17" s="12">
        <f>SUM(B17:AC17)</f>
        <v>223417450.81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8" customWidth="1"/>
    <col min="2" max="29" width="16" style="8" customWidth="1"/>
    <col min="30" max="30" width="16" style="9" customWidth="1"/>
    <col min="31" max="16384" width="9.140625" style="8"/>
  </cols>
  <sheetData>
    <row r="1" spans="1:30" ht="18.75" x14ac:dyDescent="0.3">
      <c r="A1" s="114" t="s">
        <v>287</v>
      </c>
    </row>
    <row r="2" spans="1:30" x14ac:dyDescent="0.25">
      <c r="A2" s="8" t="s">
        <v>43</v>
      </c>
    </row>
    <row r="3" spans="1:30" s="59" customFormat="1" x14ac:dyDescent="0.25">
      <c r="A3" s="110" t="s">
        <v>0</v>
      </c>
      <c r="B3" s="93" t="s">
        <v>1</v>
      </c>
      <c r="C3" s="93" t="s">
        <v>2</v>
      </c>
      <c r="D3" s="93" t="s">
        <v>3</v>
      </c>
      <c r="E3" s="93" t="s">
        <v>4</v>
      </c>
      <c r="F3" s="93" t="s">
        <v>5</v>
      </c>
      <c r="G3" s="93" t="s">
        <v>6</v>
      </c>
      <c r="H3" s="93" t="s">
        <v>7</v>
      </c>
      <c r="I3" s="93" t="s">
        <v>8</v>
      </c>
      <c r="J3" s="93" t="s">
        <v>10</v>
      </c>
      <c r="K3" s="93" t="s">
        <v>11</v>
      </c>
      <c r="L3" s="93" t="s">
        <v>12</v>
      </c>
      <c r="M3" s="93" t="s">
        <v>13</v>
      </c>
      <c r="N3" s="93" t="s">
        <v>14</v>
      </c>
      <c r="O3" s="93" t="s">
        <v>15</v>
      </c>
      <c r="P3" s="93" t="s">
        <v>16</v>
      </c>
      <c r="Q3" s="93" t="s">
        <v>17</v>
      </c>
      <c r="R3" s="93" t="s">
        <v>18</v>
      </c>
      <c r="S3" s="93" t="s">
        <v>19</v>
      </c>
      <c r="T3" s="93" t="s">
        <v>20</v>
      </c>
      <c r="U3" s="93" t="s">
        <v>21</v>
      </c>
      <c r="V3" s="93" t="s">
        <v>22</v>
      </c>
      <c r="W3" s="93" t="s">
        <v>23</v>
      </c>
      <c r="X3" s="93" t="s">
        <v>24</v>
      </c>
      <c r="Y3" s="93" t="s">
        <v>25</v>
      </c>
      <c r="Z3" s="93" t="s">
        <v>26</v>
      </c>
      <c r="AA3" s="93" t="s">
        <v>27</v>
      </c>
      <c r="AB3" s="93" t="s">
        <v>28</v>
      </c>
      <c r="AC3" s="93" t="s">
        <v>29</v>
      </c>
      <c r="AD3" s="93" t="s">
        <v>30</v>
      </c>
    </row>
    <row r="4" spans="1:30" x14ac:dyDescent="0.25">
      <c r="A4" s="11" t="s">
        <v>44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v>575</v>
      </c>
      <c r="S4" s="11">
        <v>2565</v>
      </c>
      <c r="T4" s="11"/>
      <c r="U4" s="11"/>
      <c r="V4" s="11"/>
      <c r="W4" s="11"/>
      <c r="X4" s="11"/>
      <c r="Y4" s="11"/>
      <c r="Z4" s="11"/>
      <c r="AA4" s="11"/>
      <c r="AB4" s="11">
        <v>13589</v>
      </c>
      <c r="AC4" s="11"/>
      <c r="AD4" s="12">
        <f t="shared" ref="AD4:AD11" si="0">SUM(B4:AC4)</f>
        <v>16729</v>
      </c>
    </row>
    <row r="5" spans="1:30" x14ac:dyDescent="0.25">
      <c r="A5" s="11" t="s">
        <v>45</v>
      </c>
      <c r="B5" s="11"/>
      <c r="C5" s="8">
        <v>2587793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>
        <f t="shared" si="0"/>
        <v>2587793</v>
      </c>
    </row>
    <row r="6" spans="1:30" x14ac:dyDescent="0.25">
      <c r="A6" s="11" t="s">
        <v>46</v>
      </c>
      <c r="B6" s="11"/>
      <c r="C6" s="11"/>
      <c r="D6" s="11">
        <v>1666197</v>
      </c>
      <c r="E6" s="11">
        <v>1720185</v>
      </c>
      <c r="F6" s="11">
        <v>1432645</v>
      </c>
      <c r="G6" s="11">
        <v>1951201</v>
      </c>
      <c r="H6" s="11"/>
      <c r="I6" s="11"/>
      <c r="J6" s="11"/>
      <c r="K6" s="11">
        <v>15003165</v>
      </c>
      <c r="L6" s="11">
        <v>2568789</v>
      </c>
      <c r="M6" s="11"/>
      <c r="N6" s="11"/>
      <c r="O6" s="11">
        <v>1455000</v>
      </c>
      <c r="P6" s="11"/>
      <c r="Q6" s="11"/>
      <c r="R6" s="11"/>
      <c r="S6" s="11"/>
      <c r="T6" s="11"/>
      <c r="U6" s="11">
        <v>8054800</v>
      </c>
      <c r="V6" s="11"/>
      <c r="W6" s="11">
        <v>640000</v>
      </c>
      <c r="X6" s="11">
        <v>11201000</v>
      </c>
      <c r="Y6" s="11"/>
      <c r="Z6" s="11">
        <v>3317550</v>
      </c>
      <c r="AA6" s="11">
        <v>825000</v>
      </c>
      <c r="AB6" s="11"/>
      <c r="AC6" s="11">
        <v>858000</v>
      </c>
      <c r="AD6" s="12">
        <f t="shared" si="0"/>
        <v>50693532</v>
      </c>
    </row>
    <row r="7" spans="1:30" x14ac:dyDescent="0.25">
      <c r="A7" s="11" t="s">
        <v>47</v>
      </c>
      <c r="B7" s="11">
        <v>24434932</v>
      </c>
      <c r="C7" s="11"/>
      <c r="D7" s="11"/>
      <c r="E7" s="11"/>
      <c r="F7" s="11">
        <v>2847567</v>
      </c>
      <c r="G7" s="11"/>
      <c r="H7" s="11">
        <v>19193483.969999999</v>
      </c>
      <c r="I7" s="11"/>
      <c r="J7" s="11"/>
      <c r="K7" s="11">
        <v>333642</v>
      </c>
      <c r="L7" s="11"/>
      <c r="M7" s="11"/>
      <c r="N7" s="11"/>
      <c r="O7" s="11"/>
      <c r="P7" s="11"/>
      <c r="Q7" s="11">
        <v>37856049</v>
      </c>
      <c r="R7" s="11">
        <v>98515561</v>
      </c>
      <c r="S7" s="11">
        <v>31376398</v>
      </c>
      <c r="T7" s="11"/>
      <c r="U7" s="11"/>
      <c r="V7" s="11"/>
      <c r="W7" s="11"/>
      <c r="X7" s="11"/>
      <c r="Y7" s="11"/>
      <c r="Z7" s="11"/>
      <c r="AA7" s="11">
        <v>151237</v>
      </c>
      <c r="AB7" s="11">
        <v>55650263</v>
      </c>
      <c r="AC7" s="11"/>
      <c r="AD7" s="12">
        <f t="shared" si="0"/>
        <v>270359132.97000003</v>
      </c>
    </row>
    <row r="8" spans="1:30" x14ac:dyDescent="0.25">
      <c r="A8" s="11" t="s">
        <v>48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>
        <v>1166</v>
      </c>
      <c r="M8" s="11"/>
      <c r="N8" s="11"/>
      <c r="O8" s="11"/>
      <c r="P8" s="11"/>
      <c r="Q8" s="11">
        <v>16611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>
        <f t="shared" si="0"/>
        <v>17777</v>
      </c>
    </row>
    <row r="9" spans="1:30" x14ac:dyDescent="0.25">
      <c r="A9" s="11" t="s">
        <v>49</v>
      </c>
      <c r="B9" s="11">
        <f t="shared" ref="B9:AC9" si="1">B11-B10-B8-B7-B6-B5-B4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  <c r="F9" s="11">
        <f t="shared" si="1"/>
        <v>0</v>
      </c>
      <c r="G9" s="11">
        <f t="shared" si="1"/>
        <v>0</v>
      </c>
      <c r="H9" s="11">
        <f t="shared" si="1"/>
        <v>600000</v>
      </c>
      <c r="I9" s="11">
        <f t="shared" si="1"/>
        <v>0</v>
      </c>
      <c r="J9" s="11">
        <f t="shared" si="1"/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0</v>
      </c>
      <c r="P9" s="11">
        <f t="shared" si="1"/>
        <v>0</v>
      </c>
      <c r="Q9" s="11">
        <f t="shared" si="1"/>
        <v>994335</v>
      </c>
      <c r="R9" s="11">
        <f t="shared" si="1"/>
        <v>13221057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148123</v>
      </c>
      <c r="AC9" s="11">
        <f t="shared" si="1"/>
        <v>0</v>
      </c>
      <c r="AD9" s="12">
        <f t="shared" si="0"/>
        <v>14963515</v>
      </c>
    </row>
    <row r="10" spans="1:30" x14ac:dyDescent="0.25">
      <c r="A10" s="11" t="s">
        <v>50</v>
      </c>
      <c r="B10" s="11"/>
      <c r="C10" s="11"/>
      <c r="D10" s="11">
        <v>25128618</v>
      </c>
      <c r="E10" s="11"/>
      <c r="F10" s="11">
        <v>1401299</v>
      </c>
      <c r="G10" s="11"/>
      <c r="H10" s="11"/>
      <c r="I10" s="11"/>
      <c r="J10" s="11"/>
      <c r="K10" s="11">
        <v>11944273</v>
      </c>
      <c r="L10" s="11">
        <v>7325117</v>
      </c>
      <c r="M10" s="11"/>
      <c r="N10" s="11"/>
      <c r="O10" s="11"/>
      <c r="P10" s="11"/>
      <c r="Q10" s="11"/>
      <c r="R10" s="11"/>
      <c r="S10" s="11"/>
      <c r="T10" s="11">
        <v>201668</v>
      </c>
      <c r="U10" s="11">
        <v>990820</v>
      </c>
      <c r="V10" s="11"/>
      <c r="W10" s="11">
        <v>1941810</v>
      </c>
      <c r="X10" s="11"/>
      <c r="Y10" s="11">
        <v>6925716</v>
      </c>
      <c r="Z10" s="11"/>
      <c r="AA10" s="11">
        <v>3346472</v>
      </c>
      <c r="AB10" s="11"/>
      <c r="AC10" s="11"/>
      <c r="AD10" s="12">
        <f t="shared" si="0"/>
        <v>59205793</v>
      </c>
    </row>
    <row r="11" spans="1:30" s="9" customFormat="1" x14ac:dyDescent="0.25">
      <c r="A11" s="12" t="s">
        <v>51</v>
      </c>
      <c r="B11" s="12">
        <v>24434932</v>
      </c>
      <c r="C11" s="12">
        <v>2587793</v>
      </c>
      <c r="D11" s="12">
        <v>26794815</v>
      </c>
      <c r="E11" s="12">
        <v>1720185</v>
      </c>
      <c r="F11" s="12">
        <v>5681511</v>
      </c>
      <c r="G11" s="12">
        <v>1951201</v>
      </c>
      <c r="H11" s="12">
        <v>19793483.969999999</v>
      </c>
      <c r="I11" s="12"/>
      <c r="J11" s="12"/>
      <c r="K11" s="12">
        <v>27281080</v>
      </c>
      <c r="L11" s="12">
        <v>9895072</v>
      </c>
      <c r="M11" s="12"/>
      <c r="N11" s="12"/>
      <c r="O11" s="12">
        <v>1455000</v>
      </c>
      <c r="P11" s="12"/>
      <c r="Q11" s="12">
        <v>38866995</v>
      </c>
      <c r="R11" s="12">
        <v>111737193</v>
      </c>
      <c r="S11" s="12">
        <v>31378963</v>
      </c>
      <c r="T11" s="12">
        <v>201668</v>
      </c>
      <c r="U11" s="12">
        <v>9045620</v>
      </c>
      <c r="V11" s="12"/>
      <c r="W11" s="12">
        <v>2581810</v>
      </c>
      <c r="X11" s="12">
        <v>11201000</v>
      </c>
      <c r="Y11" s="12">
        <v>6925716</v>
      </c>
      <c r="Z11" s="12">
        <v>3317550</v>
      </c>
      <c r="AA11" s="12">
        <v>4322709</v>
      </c>
      <c r="AB11" s="12">
        <v>55811975</v>
      </c>
      <c r="AC11" s="12">
        <v>858000</v>
      </c>
      <c r="AD11" s="12">
        <f t="shared" si="0"/>
        <v>397844271.97000003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42.28515625" style="59" customWidth="1"/>
    <col min="2" max="29" width="14.28515625" style="59" customWidth="1"/>
    <col min="30" max="16384" width="9.140625" style="59"/>
  </cols>
  <sheetData>
    <row r="1" spans="1:29" ht="18.75" x14ac:dyDescent="0.3">
      <c r="A1" s="58" t="s">
        <v>286</v>
      </c>
    </row>
    <row r="2" spans="1:29" x14ac:dyDescent="0.25">
      <c r="A2" s="60" t="s">
        <v>43</v>
      </c>
    </row>
    <row r="3" spans="1:29" ht="15" customHeight="1" x14ac:dyDescent="0.25">
      <c r="A3" s="99" t="s">
        <v>0</v>
      </c>
      <c r="B3" s="97" t="s">
        <v>1</v>
      </c>
      <c r="C3" s="97" t="s">
        <v>2</v>
      </c>
      <c r="D3" s="97" t="s">
        <v>3</v>
      </c>
      <c r="E3" s="97" t="s">
        <v>4</v>
      </c>
      <c r="F3" s="97" t="s">
        <v>5</v>
      </c>
      <c r="G3" s="97" t="s">
        <v>6</v>
      </c>
      <c r="H3" s="97" t="s">
        <v>7</v>
      </c>
      <c r="I3" s="97" t="s">
        <v>8</v>
      </c>
      <c r="J3" s="97" t="s">
        <v>10</v>
      </c>
      <c r="K3" s="97" t="s">
        <v>11</v>
      </c>
      <c r="L3" s="97" t="s">
        <v>12</v>
      </c>
      <c r="M3" s="97" t="s">
        <v>13</v>
      </c>
      <c r="N3" s="97" t="s">
        <v>14</v>
      </c>
      <c r="O3" s="97" t="s">
        <v>15</v>
      </c>
      <c r="P3" s="97" t="s">
        <v>16</v>
      </c>
      <c r="Q3" s="97" t="s">
        <v>17</v>
      </c>
      <c r="R3" s="97" t="s">
        <v>18</v>
      </c>
      <c r="S3" s="97" t="s">
        <v>19</v>
      </c>
      <c r="T3" s="97" t="s">
        <v>20</v>
      </c>
      <c r="U3" s="97" t="s">
        <v>21</v>
      </c>
      <c r="V3" s="97" t="s">
        <v>22</v>
      </c>
      <c r="W3" s="97" t="s">
        <v>23</v>
      </c>
      <c r="X3" s="97" t="s">
        <v>24</v>
      </c>
      <c r="Y3" s="97" t="s">
        <v>25</v>
      </c>
      <c r="Z3" s="97" t="s">
        <v>26</v>
      </c>
      <c r="AA3" s="97" t="s">
        <v>27</v>
      </c>
      <c r="AB3" s="97" t="s">
        <v>290</v>
      </c>
      <c r="AC3" s="97" t="s">
        <v>29</v>
      </c>
    </row>
    <row r="4" spans="1:29" x14ac:dyDescent="0.25">
      <c r="A4" s="99"/>
      <c r="B4" s="98"/>
      <c r="C4" s="98" t="s">
        <v>160</v>
      </c>
      <c r="D4" s="98" t="s">
        <v>160</v>
      </c>
      <c r="E4" s="98" t="s">
        <v>160</v>
      </c>
      <c r="F4" s="98"/>
      <c r="G4" s="98" t="s">
        <v>160</v>
      </c>
      <c r="H4" s="98" t="s">
        <v>160</v>
      </c>
      <c r="I4" s="98" t="s">
        <v>160</v>
      </c>
      <c r="J4" s="98" t="s">
        <v>160</v>
      </c>
      <c r="K4" s="98" t="s">
        <v>160</v>
      </c>
      <c r="L4" s="98" t="s">
        <v>160</v>
      </c>
      <c r="M4" s="98" t="s">
        <v>160</v>
      </c>
      <c r="N4" s="98" t="s">
        <v>160</v>
      </c>
      <c r="O4" s="98" t="s">
        <v>160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</row>
    <row r="5" spans="1:29" x14ac:dyDescent="0.25">
      <c r="A5" s="61" t="s">
        <v>188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29" ht="30" x14ac:dyDescent="0.25">
      <c r="A6" s="63" t="s">
        <v>189</v>
      </c>
      <c r="B6" s="62">
        <v>11605593</v>
      </c>
      <c r="C6" s="62">
        <v>2425923</v>
      </c>
      <c r="D6" s="62">
        <v>45046461</v>
      </c>
      <c r="E6" s="62">
        <v>8416519</v>
      </c>
      <c r="F6" s="62">
        <v>12269048</v>
      </c>
      <c r="G6" s="62">
        <v>546552</v>
      </c>
      <c r="H6" s="62">
        <f>7026179.87+5147736.52+10110844.2+7407718.41</f>
        <v>29692479</v>
      </c>
      <c r="I6" s="62">
        <v>7690822</v>
      </c>
      <c r="J6" s="62">
        <v>2140090</v>
      </c>
      <c r="K6" s="62">
        <v>46091685</v>
      </c>
      <c r="L6" s="62">
        <v>14704212</v>
      </c>
      <c r="M6" s="62">
        <v>571066</v>
      </c>
      <c r="N6" s="62">
        <v>1498732</v>
      </c>
      <c r="O6" s="62">
        <v>2687113</v>
      </c>
      <c r="P6" s="62">
        <v>1496793</v>
      </c>
      <c r="Q6" s="62">
        <v>67840286</v>
      </c>
      <c r="R6" s="62">
        <v>110159559</v>
      </c>
      <c r="S6" s="62">
        <v>39800989</v>
      </c>
      <c r="T6" s="62">
        <v>404146</v>
      </c>
      <c r="U6" s="62">
        <v>13380607</v>
      </c>
      <c r="V6" s="62">
        <v>1160623.6000000001</v>
      </c>
      <c r="W6" s="62">
        <v>10159269</v>
      </c>
      <c r="X6" s="62">
        <v>8622950</v>
      </c>
      <c r="Y6" s="62">
        <v>19240234</v>
      </c>
      <c r="Z6" s="62">
        <v>3500579</v>
      </c>
      <c r="AA6" s="62">
        <v>13707563</v>
      </c>
      <c r="AB6" s="62">
        <v>61457818</v>
      </c>
      <c r="AC6" s="62">
        <v>4214666</v>
      </c>
    </row>
    <row r="7" spans="1:29" ht="15" customHeight="1" x14ac:dyDescent="0.25">
      <c r="A7" s="63" t="s">
        <v>190</v>
      </c>
      <c r="B7" s="62">
        <v>6805199</v>
      </c>
      <c r="C7" s="62"/>
      <c r="D7" s="62"/>
      <c r="E7" s="62">
        <v>9886389</v>
      </c>
      <c r="F7" s="62"/>
      <c r="G7" s="62">
        <v>207298</v>
      </c>
      <c r="H7" s="62">
        <f>384162.14+266960.13</f>
        <v>651122.27</v>
      </c>
      <c r="I7" s="62"/>
      <c r="J7" s="62">
        <v>1361191</v>
      </c>
      <c r="K7" s="62"/>
      <c r="L7" s="62"/>
      <c r="M7" s="62"/>
      <c r="N7" s="62"/>
      <c r="O7" s="62">
        <v>665966</v>
      </c>
      <c r="P7" s="62">
        <v>308369</v>
      </c>
      <c r="Q7" s="62">
        <v>278325</v>
      </c>
      <c r="R7" s="62">
        <v>43815</v>
      </c>
      <c r="S7" s="62">
        <v>17951</v>
      </c>
      <c r="T7" s="62"/>
      <c r="U7" s="62">
        <v>4179438</v>
      </c>
      <c r="V7" s="62">
        <v>387294.6</v>
      </c>
      <c r="W7" s="62"/>
      <c r="X7" s="62">
        <v>2697748</v>
      </c>
      <c r="Y7" s="62"/>
      <c r="Z7" s="62"/>
      <c r="AA7" s="62"/>
      <c r="AB7" s="62">
        <v>10475</v>
      </c>
      <c r="AC7" s="62">
        <v>39961</v>
      </c>
    </row>
    <row r="8" spans="1:29" ht="15" customHeight="1" x14ac:dyDescent="0.25">
      <c r="A8" s="63" t="s">
        <v>191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spans="1:29" ht="15" customHeight="1" x14ac:dyDescent="0.25">
      <c r="A9" s="63" t="s">
        <v>192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29" ht="15" customHeight="1" x14ac:dyDescent="0.25">
      <c r="A10" s="63" t="s">
        <v>193</v>
      </c>
      <c r="B10" s="62">
        <v>1055159</v>
      </c>
      <c r="C10" s="62"/>
      <c r="D10" s="62"/>
      <c r="E10" s="62"/>
      <c r="F10" s="62">
        <v>1230649</v>
      </c>
      <c r="G10" s="62"/>
      <c r="H10" s="62">
        <f>3034901.41+4367297.14</f>
        <v>7402198.5499999998</v>
      </c>
      <c r="I10" s="62"/>
      <c r="J10" s="62"/>
      <c r="K10" s="62">
        <v>15172500</v>
      </c>
      <c r="L10" s="62">
        <v>79388</v>
      </c>
      <c r="M10" s="62"/>
      <c r="N10" s="62"/>
      <c r="O10" s="62"/>
      <c r="P10" s="62"/>
      <c r="Q10" s="62">
        <v>94461160</v>
      </c>
      <c r="R10" s="62">
        <v>236151990</v>
      </c>
      <c r="S10" s="62">
        <v>94002163</v>
      </c>
      <c r="T10" s="62"/>
      <c r="U10" s="62">
        <v>534837</v>
      </c>
      <c r="V10" s="62"/>
      <c r="W10" s="62"/>
      <c r="X10" s="62">
        <v>286255</v>
      </c>
      <c r="Y10" s="62">
        <v>3010</v>
      </c>
      <c r="Z10" s="62"/>
      <c r="AA10" s="62">
        <v>2839998</v>
      </c>
      <c r="AB10" s="62">
        <v>81113493</v>
      </c>
      <c r="AC10" s="62"/>
    </row>
    <row r="11" spans="1:29" ht="15" customHeight="1" x14ac:dyDescent="0.25">
      <c r="A11" s="63" t="s">
        <v>194</v>
      </c>
      <c r="B11" s="62"/>
      <c r="C11" s="62"/>
      <c r="D11" s="62"/>
      <c r="E11" s="62"/>
      <c r="F11" s="62"/>
      <c r="G11" s="62"/>
      <c r="H11" s="62"/>
      <c r="I11" s="62"/>
      <c r="J11" s="62"/>
      <c r="K11" s="62">
        <v>56602</v>
      </c>
      <c r="L11" s="62"/>
      <c r="M11" s="62"/>
      <c r="N11" s="62"/>
      <c r="O11" s="62">
        <v>84255</v>
      </c>
      <c r="P11" s="62"/>
      <c r="Q11" s="62">
        <v>40282</v>
      </c>
      <c r="R11" s="62">
        <v>3281</v>
      </c>
      <c r="S11" s="62">
        <v>74820</v>
      </c>
      <c r="T11" s="62"/>
      <c r="U11" s="62"/>
      <c r="V11" s="62"/>
      <c r="W11" s="62"/>
      <c r="X11" s="62"/>
      <c r="Y11" s="62"/>
      <c r="Z11" s="62"/>
      <c r="AA11" s="62"/>
      <c r="AB11" s="62">
        <v>5076</v>
      </c>
      <c r="AC11" s="62"/>
    </row>
    <row r="12" spans="1:29" ht="15" customHeight="1" x14ac:dyDescent="0.25">
      <c r="A12" s="63" t="s">
        <v>195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>
        <v>517943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ht="15" customHeight="1" x14ac:dyDescent="0.25">
      <c r="A13" s="63" t="s">
        <v>196</v>
      </c>
      <c r="B13" s="62">
        <v>7399344</v>
      </c>
      <c r="C13" s="62">
        <v>830087</v>
      </c>
      <c r="D13" s="62">
        <v>12321414</v>
      </c>
      <c r="E13" s="62"/>
      <c r="F13" s="62">
        <v>11285926</v>
      </c>
      <c r="G13" s="62">
        <v>503575</v>
      </c>
      <c r="H13" s="62">
        <f>5278511.62+2723822.85+3668118.25+1892826.05</f>
        <v>13563278.770000001</v>
      </c>
      <c r="I13" s="62">
        <v>6490732</v>
      </c>
      <c r="J13" s="62"/>
      <c r="K13" s="62">
        <v>22573238</v>
      </c>
      <c r="L13" s="62">
        <v>4928610</v>
      </c>
      <c r="M13" s="62">
        <v>200508</v>
      </c>
      <c r="N13" s="62">
        <v>1059461</v>
      </c>
      <c r="O13" s="62">
        <v>1592362</v>
      </c>
      <c r="P13" s="62">
        <v>504678</v>
      </c>
      <c r="Q13" s="62">
        <v>20936747</v>
      </c>
      <c r="R13" s="62">
        <v>21982809</v>
      </c>
      <c r="S13" s="62">
        <v>23753135</v>
      </c>
      <c r="T13" s="62">
        <v>452071</v>
      </c>
      <c r="U13" s="62">
        <v>11464068</v>
      </c>
      <c r="V13" s="62">
        <v>653895.5</v>
      </c>
      <c r="W13" s="62">
        <v>6114604</v>
      </c>
      <c r="X13" s="62">
        <v>8672296</v>
      </c>
      <c r="Y13" s="62">
        <v>16260218</v>
      </c>
      <c r="Z13" s="62">
        <v>1411987</v>
      </c>
      <c r="AA13" s="62">
        <v>4220753</v>
      </c>
      <c r="AB13" s="62">
        <v>18740663</v>
      </c>
      <c r="AC13" s="62">
        <v>1579148</v>
      </c>
    </row>
    <row r="14" spans="1:29" ht="15" customHeight="1" x14ac:dyDescent="0.25">
      <c r="A14" s="63" t="s">
        <v>197</v>
      </c>
      <c r="B14" s="62"/>
      <c r="C14" s="62">
        <v>1211389</v>
      </c>
      <c r="D14" s="62"/>
      <c r="E14" s="62"/>
      <c r="F14" s="62">
        <v>3571600</v>
      </c>
      <c r="G14" s="62"/>
      <c r="H14" s="62"/>
      <c r="I14" s="62">
        <v>124500</v>
      </c>
      <c r="J14" s="62"/>
      <c r="K14" s="62"/>
      <c r="L14" s="62"/>
      <c r="M14" s="62"/>
      <c r="N14" s="62"/>
      <c r="O14" s="62">
        <v>720000</v>
      </c>
      <c r="P14" s="62">
        <v>189600</v>
      </c>
      <c r="Q14" s="62">
        <v>110942</v>
      </c>
      <c r="R14" s="62">
        <v>78320</v>
      </c>
      <c r="S14" s="62"/>
      <c r="T14" s="62"/>
      <c r="U14" s="62"/>
      <c r="V14" s="62">
        <v>623000</v>
      </c>
      <c r="W14" s="62"/>
      <c r="X14" s="62">
        <v>1009297</v>
      </c>
      <c r="Y14" s="62">
        <v>913458</v>
      </c>
      <c r="Z14" s="62"/>
      <c r="AA14" s="62"/>
      <c r="AB14" s="62"/>
      <c r="AC14" s="62"/>
    </row>
    <row r="15" spans="1:29" ht="15" customHeight="1" x14ac:dyDescent="0.25">
      <c r="A15" s="63" t="s">
        <v>198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>
        <v>2759034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ht="15" customHeight="1" x14ac:dyDescent="0.25">
      <c r="A16" s="63" t="s">
        <v>199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>
        <v>5000</v>
      </c>
      <c r="M16" s="62"/>
      <c r="N16" s="62"/>
      <c r="O16" s="62"/>
      <c r="P16" s="62"/>
      <c r="Q16" s="62"/>
      <c r="R16" s="62">
        <v>704980</v>
      </c>
      <c r="S16" s="62"/>
      <c r="T16" s="62"/>
      <c r="U16" s="62"/>
      <c r="V16" s="62"/>
      <c r="W16" s="62"/>
      <c r="X16" s="62"/>
      <c r="Y16" s="62">
        <v>257622</v>
      </c>
      <c r="Z16" s="62"/>
      <c r="AA16" s="62"/>
      <c r="AB16" s="62">
        <v>185288</v>
      </c>
      <c r="AC16" s="62"/>
    </row>
    <row r="17" spans="1:29" ht="15" customHeight="1" x14ac:dyDescent="0.25">
      <c r="A17" s="63" t="s">
        <v>200</v>
      </c>
      <c r="B17" s="62"/>
      <c r="C17" s="62"/>
      <c r="D17" s="62"/>
      <c r="E17" s="62"/>
      <c r="F17" s="62">
        <v>288251</v>
      </c>
      <c r="G17" s="62"/>
      <c r="H17" s="62"/>
      <c r="I17" s="62"/>
      <c r="J17" s="62"/>
      <c r="K17" s="62">
        <v>1367513</v>
      </c>
      <c r="L17" s="62"/>
      <c r="M17" s="62"/>
      <c r="N17" s="62"/>
      <c r="O17" s="62"/>
      <c r="P17" s="62"/>
      <c r="Q17" s="62">
        <v>5378</v>
      </c>
      <c r="R17" s="62"/>
      <c r="S17" s="62"/>
      <c r="T17" s="62"/>
      <c r="U17" s="62"/>
      <c r="V17" s="62"/>
      <c r="W17" s="62"/>
      <c r="X17" s="62"/>
      <c r="Y17" s="62"/>
      <c r="Z17" s="62">
        <v>25108</v>
      </c>
      <c r="AA17" s="62"/>
      <c r="AB17" s="62"/>
      <c r="AC17" s="62"/>
    </row>
    <row r="18" spans="1:29" ht="15" customHeight="1" x14ac:dyDescent="0.25">
      <c r="A18" s="63" t="s">
        <v>201</v>
      </c>
      <c r="B18" s="62">
        <v>5571556</v>
      </c>
      <c r="C18" s="62">
        <v>907628</v>
      </c>
      <c r="D18" s="62">
        <v>18666312</v>
      </c>
      <c r="E18" s="62">
        <v>3699497</v>
      </c>
      <c r="F18" s="62">
        <v>5033083</v>
      </c>
      <c r="G18" s="62">
        <v>449509</v>
      </c>
      <c r="H18" s="62">
        <f>5181662.7+7456539.01</f>
        <v>12638201.710000001</v>
      </c>
      <c r="I18" s="62">
        <v>4745975</v>
      </c>
      <c r="J18" s="62">
        <v>1660733</v>
      </c>
      <c r="K18" s="62">
        <v>16731754</v>
      </c>
      <c r="L18" s="62">
        <v>14269029</v>
      </c>
      <c r="M18" s="62">
        <v>253367</v>
      </c>
      <c r="N18" s="62">
        <v>1155000</v>
      </c>
      <c r="O18" s="62">
        <v>1288762</v>
      </c>
      <c r="P18" s="62">
        <v>1114441</v>
      </c>
      <c r="Q18" s="62">
        <v>16348892</v>
      </c>
      <c r="R18" s="62">
        <v>49002230</v>
      </c>
      <c r="S18" s="62">
        <v>23818074</v>
      </c>
      <c r="T18" s="62">
        <v>405058</v>
      </c>
      <c r="U18" s="62">
        <v>9687547</v>
      </c>
      <c r="V18" s="62">
        <f>558853+417977</f>
        <v>976830</v>
      </c>
      <c r="W18" s="62">
        <v>6379592</v>
      </c>
      <c r="X18" s="62">
        <v>3977587</v>
      </c>
      <c r="Y18" s="62">
        <v>20784718</v>
      </c>
      <c r="Z18" s="62">
        <v>2294714</v>
      </c>
      <c r="AA18" s="62">
        <v>9152220</v>
      </c>
      <c r="AB18" s="62">
        <v>50426303</v>
      </c>
      <c r="AC18" s="62">
        <v>2600475</v>
      </c>
    </row>
    <row r="19" spans="1:29" ht="15" customHeight="1" x14ac:dyDescent="0.25">
      <c r="A19" s="63" t="s">
        <v>202</v>
      </c>
      <c r="B19" s="62">
        <v>12880</v>
      </c>
      <c r="C19" s="62"/>
      <c r="D19" s="62">
        <v>1652500</v>
      </c>
      <c r="E19" s="62"/>
      <c r="F19" s="62">
        <v>251559</v>
      </c>
      <c r="G19" s="62"/>
      <c r="H19" s="62">
        <f>235169.16+163422.64</f>
        <v>398591.80000000005</v>
      </c>
      <c r="I19" s="62">
        <v>232081</v>
      </c>
      <c r="J19" s="62">
        <v>152138</v>
      </c>
      <c r="K19" s="62">
        <v>1223397</v>
      </c>
      <c r="L19" s="62"/>
      <c r="M19" s="62"/>
      <c r="N19" s="62"/>
      <c r="O19" s="62">
        <v>453398</v>
      </c>
      <c r="P19" s="62"/>
      <c r="Q19" s="62">
        <v>916510</v>
      </c>
      <c r="R19" s="62">
        <v>5074742</v>
      </c>
      <c r="S19" s="62">
        <v>3769414</v>
      </c>
      <c r="T19" s="62"/>
      <c r="U19" s="62">
        <v>1234062</v>
      </c>
      <c r="V19" s="62"/>
      <c r="W19" s="62">
        <v>102902</v>
      </c>
      <c r="X19" s="62">
        <v>1383832</v>
      </c>
      <c r="Y19" s="62"/>
      <c r="Z19" s="62">
        <v>245258</v>
      </c>
      <c r="AA19" s="62"/>
      <c r="AB19" s="62">
        <v>10026965</v>
      </c>
      <c r="AC19" s="62"/>
    </row>
    <row r="20" spans="1:29" s="65" customFormat="1" ht="15" customHeight="1" x14ac:dyDescent="0.25">
      <c r="A20" s="61" t="s">
        <v>203</v>
      </c>
      <c r="B20" s="64">
        <f t="shared" ref="B20:Q20" si="0">SUM(B6:B19)</f>
        <v>32449731</v>
      </c>
      <c r="C20" s="64">
        <f t="shared" si="0"/>
        <v>5375027</v>
      </c>
      <c r="D20" s="64">
        <f t="shared" si="0"/>
        <v>77686687</v>
      </c>
      <c r="E20" s="64">
        <f t="shared" si="0"/>
        <v>22002405</v>
      </c>
      <c r="F20" s="64">
        <f t="shared" si="0"/>
        <v>33930116</v>
      </c>
      <c r="G20" s="64">
        <f t="shared" si="0"/>
        <v>1706934</v>
      </c>
      <c r="H20" s="64">
        <f t="shared" si="0"/>
        <v>64345872.100000001</v>
      </c>
      <c r="I20" s="64">
        <f t="shared" si="0"/>
        <v>19284110</v>
      </c>
      <c r="J20" s="64">
        <f t="shared" si="0"/>
        <v>5314152</v>
      </c>
      <c r="K20" s="64">
        <f t="shared" si="0"/>
        <v>103216689</v>
      </c>
      <c r="L20" s="64">
        <f t="shared" si="0"/>
        <v>36745273</v>
      </c>
      <c r="M20" s="64">
        <f t="shared" si="0"/>
        <v>1024941</v>
      </c>
      <c r="N20" s="64">
        <f t="shared" si="0"/>
        <v>3713193</v>
      </c>
      <c r="O20" s="64">
        <f t="shared" si="0"/>
        <v>7491856</v>
      </c>
      <c r="P20" s="64">
        <f t="shared" si="0"/>
        <v>3613881</v>
      </c>
      <c r="Q20" s="64">
        <f t="shared" si="0"/>
        <v>200938522</v>
      </c>
      <c r="R20" s="64">
        <f t="shared" ref="R20:AC20" si="1">SUM(R6:R19)</f>
        <v>423719669</v>
      </c>
      <c r="S20" s="64">
        <f t="shared" si="1"/>
        <v>185236546</v>
      </c>
      <c r="T20" s="64">
        <f t="shared" si="1"/>
        <v>1261275</v>
      </c>
      <c r="U20" s="64">
        <f t="shared" si="1"/>
        <v>40480559</v>
      </c>
      <c r="V20" s="64">
        <f t="shared" si="1"/>
        <v>3801643.7</v>
      </c>
      <c r="W20" s="64">
        <f t="shared" si="1"/>
        <v>22756367</v>
      </c>
      <c r="X20" s="64">
        <f t="shared" si="1"/>
        <v>26649965</v>
      </c>
      <c r="Y20" s="64">
        <f t="shared" si="1"/>
        <v>57459260</v>
      </c>
      <c r="Z20" s="64">
        <f t="shared" si="1"/>
        <v>7477646</v>
      </c>
      <c r="AA20" s="64">
        <f t="shared" si="1"/>
        <v>29920534</v>
      </c>
      <c r="AB20" s="64">
        <f t="shared" si="1"/>
        <v>221966081</v>
      </c>
      <c r="AC20" s="64">
        <f t="shared" si="1"/>
        <v>8434250</v>
      </c>
    </row>
    <row r="21" spans="1:29" ht="15" customHeight="1" x14ac:dyDescent="0.25">
      <c r="A21" s="61" t="s">
        <v>204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30" x14ac:dyDescent="0.25">
      <c r="A22" s="63" t="s">
        <v>189</v>
      </c>
      <c r="B22" s="62">
        <v>996294</v>
      </c>
      <c r="C22" s="62">
        <v>258653</v>
      </c>
      <c r="D22" s="62"/>
      <c r="E22" s="62">
        <v>450902</v>
      </c>
      <c r="F22" s="62">
        <v>249059</v>
      </c>
      <c r="G22" s="62"/>
      <c r="H22" s="62">
        <f>145907.47+209964.41</f>
        <v>355871.88</v>
      </c>
      <c r="I22" s="62"/>
      <c r="J22" s="62"/>
      <c r="K22" s="62"/>
      <c r="L22" s="62">
        <v>451645</v>
      </c>
      <c r="M22" s="62"/>
      <c r="N22" s="62">
        <v>646760</v>
      </c>
      <c r="O22" s="62"/>
      <c r="P22" s="62"/>
      <c r="Q22" s="62">
        <v>1692956</v>
      </c>
      <c r="R22" s="62">
        <v>10777858</v>
      </c>
      <c r="S22" s="62">
        <v>4312704</v>
      </c>
      <c r="T22" s="62">
        <v>442683</v>
      </c>
      <c r="U22" s="62"/>
      <c r="V22" s="62">
        <v>49401.1</v>
      </c>
      <c r="W22" s="62">
        <v>798517</v>
      </c>
      <c r="X22" s="62"/>
      <c r="Y22" s="62">
        <v>159964</v>
      </c>
      <c r="Z22" s="62">
        <v>349512</v>
      </c>
      <c r="AA22" s="62">
        <v>1354098</v>
      </c>
      <c r="AB22" s="62">
        <v>2623377</v>
      </c>
      <c r="AC22" s="62"/>
    </row>
    <row r="23" spans="1:29" ht="15" customHeight="1" x14ac:dyDescent="0.25">
      <c r="A23" s="63" t="s">
        <v>190</v>
      </c>
      <c r="B23" s="62">
        <v>81090</v>
      </c>
      <c r="C23" s="62"/>
      <c r="D23" s="62"/>
      <c r="E23" s="62">
        <v>4476578</v>
      </c>
      <c r="F23" s="62"/>
      <c r="G23" s="62"/>
      <c r="H23" s="62"/>
      <c r="I23" s="62"/>
      <c r="J23" s="62">
        <v>184885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15" customHeight="1" x14ac:dyDescent="0.25">
      <c r="A24" s="63" t="s">
        <v>191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5" customHeight="1" x14ac:dyDescent="0.25">
      <c r="A25" s="63" t="s">
        <v>192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15" customHeight="1" x14ac:dyDescent="0.25">
      <c r="A26" s="63" t="s">
        <v>193</v>
      </c>
      <c r="B26" s="62"/>
      <c r="C26" s="62"/>
      <c r="D26" s="62"/>
      <c r="E26" s="62"/>
      <c r="F26" s="62"/>
      <c r="G26" s="62"/>
      <c r="H26" s="62"/>
      <c r="I26" s="62">
        <v>222601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>
        <v>299147</v>
      </c>
      <c r="X26" s="62"/>
      <c r="Y26" s="62"/>
      <c r="Z26" s="62"/>
      <c r="AA26" s="62"/>
      <c r="AB26" s="62"/>
      <c r="AC26" s="62">
        <v>264698</v>
      </c>
    </row>
    <row r="27" spans="1:29" ht="15" customHeight="1" x14ac:dyDescent="0.25">
      <c r="A27" s="63" t="s">
        <v>194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15" customHeight="1" x14ac:dyDescent="0.25">
      <c r="A28" s="63" t="s">
        <v>195</v>
      </c>
      <c r="B28" s="62">
        <v>1138360</v>
      </c>
      <c r="C28" s="62">
        <v>1013502</v>
      </c>
      <c r="D28" s="62">
        <v>851800</v>
      </c>
      <c r="E28" s="62">
        <f>151020+48503</f>
        <v>199523</v>
      </c>
      <c r="F28" s="62">
        <v>190193</v>
      </c>
      <c r="G28" s="62">
        <v>84560</v>
      </c>
      <c r="H28" s="62"/>
      <c r="I28" s="62">
        <v>529909</v>
      </c>
      <c r="J28" s="62">
        <v>452055</v>
      </c>
      <c r="K28" s="62"/>
      <c r="L28" s="62">
        <v>490752</v>
      </c>
      <c r="M28" s="62">
        <v>21322</v>
      </c>
      <c r="N28" s="62">
        <v>173350</v>
      </c>
      <c r="O28" s="62">
        <v>368934</v>
      </c>
      <c r="P28" s="62">
        <v>160995</v>
      </c>
      <c r="Q28" s="62">
        <v>7817910</v>
      </c>
      <c r="R28" s="62"/>
      <c r="S28" s="62">
        <v>1008416</v>
      </c>
      <c r="T28" s="62">
        <v>123569</v>
      </c>
      <c r="U28" s="62">
        <v>1113014</v>
      </c>
      <c r="V28" s="62">
        <v>145000</v>
      </c>
      <c r="W28" s="62"/>
      <c r="X28" s="62">
        <v>821140</v>
      </c>
      <c r="Y28" s="62">
        <v>592769</v>
      </c>
      <c r="Z28" s="62">
        <v>140000</v>
      </c>
      <c r="AA28" s="62"/>
      <c r="AB28" s="62">
        <v>1937872</v>
      </c>
      <c r="AC28" s="62">
        <v>90118</v>
      </c>
    </row>
    <row r="29" spans="1:29" ht="15" customHeight="1" x14ac:dyDescent="0.25">
      <c r="A29" s="63" t="s">
        <v>196</v>
      </c>
      <c r="B29" s="62">
        <v>1500000</v>
      </c>
      <c r="C29" s="62">
        <v>20000</v>
      </c>
      <c r="D29" s="62">
        <v>7791965</v>
      </c>
      <c r="E29" s="62"/>
      <c r="F29" s="62">
        <v>2130259</v>
      </c>
      <c r="G29" s="62">
        <v>49967</v>
      </c>
      <c r="H29" s="62">
        <f>825284.71+412992.3+573502.93+286994.65</f>
        <v>2098774.59</v>
      </c>
      <c r="I29" s="62">
        <v>50000</v>
      </c>
      <c r="J29" s="62"/>
      <c r="K29" s="62">
        <v>1800000</v>
      </c>
      <c r="L29" s="62">
        <v>2046041</v>
      </c>
      <c r="M29" s="62"/>
      <c r="N29" s="62">
        <v>151736</v>
      </c>
      <c r="O29" s="62">
        <v>523098</v>
      </c>
      <c r="P29" s="62">
        <v>460988</v>
      </c>
      <c r="Q29" s="62">
        <v>3821545</v>
      </c>
      <c r="R29" s="62">
        <v>2057276</v>
      </c>
      <c r="S29" s="62">
        <v>3344959</v>
      </c>
      <c r="T29" s="62">
        <v>400899</v>
      </c>
      <c r="U29" s="62">
        <v>8013400</v>
      </c>
      <c r="V29" s="62">
        <v>248729.9</v>
      </c>
      <c r="W29" s="62">
        <v>2249473</v>
      </c>
      <c r="X29" s="62">
        <v>2909393</v>
      </c>
      <c r="Y29" s="62">
        <v>369506</v>
      </c>
      <c r="Z29" s="62">
        <v>50000</v>
      </c>
      <c r="AA29" s="62">
        <v>2258098</v>
      </c>
      <c r="AB29" s="62">
        <v>1272783</v>
      </c>
      <c r="AC29" s="62">
        <v>1418819</v>
      </c>
    </row>
    <row r="30" spans="1:29" ht="15" customHeight="1" x14ac:dyDescent="0.25">
      <c r="A30" s="63" t="s">
        <v>206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>
        <v>751373</v>
      </c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5" customHeight="1" x14ac:dyDescent="0.25">
      <c r="A31" s="63" t="s">
        <v>207</v>
      </c>
      <c r="B31" s="62">
        <v>21684750</v>
      </c>
      <c r="C31" s="62">
        <v>229982</v>
      </c>
      <c r="D31" s="62"/>
      <c r="E31" s="62"/>
      <c r="F31" s="62"/>
      <c r="G31" s="62">
        <v>49414</v>
      </c>
      <c r="H31" s="62"/>
      <c r="I31" s="62">
        <v>100000</v>
      </c>
      <c r="J31" s="62"/>
      <c r="K31" s="62">
        <v>7117518</v>
      </c>
      <c r="L31" s="62"/>
      <c r="M31" s="62"/>
      <c r="N31" s="62">
        <v>47707</v>
      </c>
      <c r="O31" s="62">
        <v>129888</v>
      </c>
      <c r="P31" s="62">
        <v>1034528</v>
      </c>
      <c r="Q31" s="62"/>
      <c r="R31" s="62"/>
      <c r="S31" s="62"/>
      <c r="T31" s="62">
        <v>128145</v>
      </c>
      <c r="U31" s="62"/>
      <c r="V31" s="62"/>
      <c r="W31" s="62">
        <v>502444</v>
      </c>
      <c r="X31" s="62">
        <v>1470690</v>
      </c>
      <c r="Y31" s="62">
        <v>267066</v>
      </c>
      <c r="Z31" s="62"/>
      <c r="AA31" s="62">
        <v>2699924</v>
      </c>
      <c r="AB31" s="62"/>
      <c r="AC31" s="62">
        <v>287700</v>
      </c>
    </row>
    <row r="32" spans="1:29" ht="15" customHeight="1" x14ac:dyDescent="0.25">
      <c r="A32" s="63" t="s">
        <v>208</v>
      </c>
      <c r="B32" s="62"/>
      <c r="C32" s="62"/>
      <c r="D32" s="62"/>
      <c r="E32" s="62"/>
      <c r="F32" s="62">
        <v>1557100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>
        <v>47700</v>
      </c>
      <c r="W32" s="62"/>
      <c r="X32" s="62"/>
      <c r="Y32" s="62"/>
      <c r="Z32" s="62"/>
      <c r="AA32" s="62"/>
      <c r="AB32" s="62"/>
      <c r="AC32" s="62"/>
    </row>
    <row r="33" spans="1:29" ht="15" customHeight="1" x14ac:dyDescent="0.25">
      <c r="A33" s="63" t="s">
        <v>209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5" customHeight="1" x14ac:dyDescent="0.25">
      <c r="A34" s="63" t="s">
        <v>201</v>
      </c>
      <c r="B34" s="62">
        <v>800353</v>
      </c>
      <c r="C34" s="62">
        <v>153416</v>
      </c>
      <c r="D34" s="62">
        <v>329854</v>
      </c>
      <c r="E34" s="62">
        <v>450028</v>
      </c>
      <c r="F34" s="62">
        <v>450301</v>
      </c>
      <c r="G34" s="62"/>
      <c r="H34" s="62">
        <f>136584.06+196547.8</f>
        <v>333131.86</v>
      </c>
      <c r="I34" s="62">
        <v>17854</v>
      </c>
      <c r="J34" s="62"/>
      <c r="K34" s="62">
        <v>248314</v>
      </c>
      <c r="L34" s="62">
        <v>625699</v>
      </c>
      <c r="M34" s="62">
        <v>98005</v>
      </c>
      <c r="N34" s="62">
        <v>300740</v>
      </c>
      <c r="O34" s="62">
        <v>50000</v>
      </c>
      <c r="P34" s="62"/>
      <c r="Q34" s="62">
        <v>2768941</v>
      </c>
      <c r="R34" s="62">
        <v>8902370</v>
      </c>
      <c r="S34" s="62">
        <v>1753451</v>
      </c>
      <c r="T34" s="62">
        <v>200112</v>
      </c>
      <c r="U34" s="62">
        <v>3378746</v>
      </c>
      <c r="V34" s="62">
        <v>104951.3</v>
      </c>
      <c r="W34" s="62">
        <v>550064</v>
      </c>
      <c r="X34" s="62">
        <v>1154875</v>
      </c>
      <c r="Y34" s="62">
        <v>1348583</v>
      </c>
      <c r="Z34" s="62">
        <v>49989</v>
      </c>
      <c r="AA34" s="62">
        <v>611382</v>
      </c>
      <c r="AB34" s="62">
        <v>4082281</v>
      </c>
      <c r="AC34" s="62">
        <v>368111</v>
      </c>
    </row>
    <row r="35" spans="1:29" x14ac:dyDescent="0.25">
      <c r="A35" s="63" t="s">
        <v>202</v>
      </c>
      <c r="B35" s="62">
        <v>2401592</v>
      </c>
      <c r="C35" s="62"/>
      <c r="D35" s="62">
        <v>136063</v>
      </c>
      <c r="E35" s="62">
        <v>832577</v>
      </c>
      <c r="F35" s="62">
        <v>100221</v>
      </c>
      <c r="G35" s="62">
        <v>20422</v>
      </c>
      <c r="H35" s="62"/>
      <c r="I35" s="62">
        <v>15058</v>
      </c>
      <c r="J35" s="62"/>
      <c r="K35" s="62">
        <v>3242665</v>
      </c>
      <c r="L35" s="62"/>
      <c r="M35" s="62"/>
      <c r="N35" s="62"/>
      <c r="O35" s="62">
        <v>100000</v>
      </c>
      <c r="P35" s="62">
        <v>394150</v>
      </c>
      <c r="Q35" s="62">
        <v>557858</v>
      </c>
      <c r="R35" s="62"/>
      <c r="S35" s="62">
        <v>336719</v>
      </c>
      <c r="T35" s="62"/>
      <c r="U35" s="62">
        <v>828013</v>
      </c>
      <c r="V35" s="62">
        <v>135500</v>
      </c>
      <c r="W35" s="62"/>
      <c r="X35" s="62"/>
      <c r="Y35" s="62"/>
      <c r="Z35" s="62"/>
      <c r="AA35" s="62"/>
      <c r="AB35" s="62">
        <v>500000</v>
      </c>
      <c r="AC35" s="62"/>
    </row>
    <row r="36" spans="1:29" s="65" customFormat="1" x14ac:dyDescent="0.25">
      <c r="A36" s="61" t="s">
        <v>205</v>
      </c>
      <c r="B36" s="64">
        <f t="shared" ref="B36:Q36" si="2">SUM(B22:B35)</f>
        <v>28602439</v>
      </c>
      <c r="C36" s="64">
        <f t="shared" si="2"/>
        <v>1675553</v>
      </c>
      <c r="D36" s="64">
        <f t="shared" si="2"/>
        <v>9109682</v>
      </c>
      <c r="E36" s="64">
        <f t="shared" si="2"/>
        <v>6409608</v>
      </c>
      <c r="F36" s="64">
        <f t="shared" si="2"/>
        <v>4677133</v>
      </c>
      <c r="G36" s="64">
        <f t="shared" si="2"/>
        <v>204363</v>
      </c>
      <c r="H36" s="64">
        <f t="shared" si="2"/>
        <v>2787778.3299999996</v>
      </c>
      <c r="I36" s="64">
        <f t="shared" si="2"/>
        <v>935422</v>
      </c>
      <c r="J36" s="64">
        <f t="shared" si="2"/>
        <v>636940</v>
      </c>
      <c r="K36" s="64">
        <f t="shared" si="2"/>
        <v>12408497</v>
      </c>
      <c r="L36" s="64">
        <f t="shared" si="2"/>
        <v>4365510</v>
      </c>
      <c r="M36" s="64">
        <f t="shared" si="2"/>
        <v>119327</v>
      </c>
      <c r="N36" s="64">
        <f t="shared" si="2"/>
        <v>1320293</v>
      </c>
      <c r="O36" s="64">
        <f t="shared" si="2"/>
        <v>1171920</v>
      </c>
      <c r="P36" s="64">
        <f t="shared" si="2"/>
        <v>2050661</v>
      </c>
      <c r="Q36" s="64">
        <f t="shared" si="2"/>
        <v>16659210</v>
      </c>
      <c r="R36" s="64">
        <f t="shared" ref="R36:AC36" si="3">SUM(R22:R35)</f>
        <v>21737504</v>
      </c>
      <c r="S36" s="64">
        <f t="shared" si="3"/>
        <v>10756249</v>
      </c>
      <c r="T36" s="64">
        <f t="shared" si="3"/>
        <v>1295408</v>
      </c>
      <c r="U36" s="64">
        <f t="shared" si="3"/>
        <v>13333173</v>
      </c>
      <c r="V36" s="64">
        <f t="shared" si="3"/>
        <v>731282.3</v>
      </c>
      <c r="W36" s="64">
        <f t="shared" si="3"/>
        <v>4399645</v>
      </c>
      <c r="X36" s="64">
        <f t="shared" si="3"/>
        <v>6356098</v>
      </c>
      <c r="Y36" s="64">
        <f t="shared" si="3"/>
        <v>2737888</v>
      </c>
      <c r="Z36" s="64">
        <f t="shared" si="3"/>
        <v>589501</v>
      </c>
      <c r="AA36" s="64">
        <f t="shared" si="3"/>
        <v>6923502</v>
      </c>
      <c r="AB36" s="64">
        <f t="shared" si="3"/>
        <v>10416313</v>
      </c>
      <c r="AC36" s="64">
        <f t="shared" si="3"/>
        <v>2429446</v>
      </c>
    </row>
    <row r="37" spans="1:29" s="65" customFormat="1" x14ac:dyDescent="0.25">
      <c r="A37" s="61" t="s">
        <v>51</v>
      </c>
      <c r="B37" s="64">
        <f t="shared" ref="B37:Q37" si="4">B36+B20</f>
        <v>61052170</v>
      </c>
      <c r="C37" s="64">
        <f t="shared" si="4"/>
        <v>7050580</v>
      </c>
      <c r="D37" s="64">
        <f t="shared" si="4"/>
        <v>86796369</v>
      </c>
      <c r="E37" s="64">
        <f t="shared" si="4"/>
        <v>28412013</v>
      </c>
      <c r="F37" s="64">
        <f t="shared" si="4"/>
        <v>38607249</v>
      </c>
      <c r="G37" s="64">
        <f t="shared" si="4"/>
        <v>1911297</v>
      </c>
      <c r="H37" s="64">
        <f t="shared" si="4"/>
        <v>67133650.430000007</v>
      </c>
      <c r="I37" s="64">
        <f t="shared" si="4"/>
        <v>20219532</v>
      </c>
      <c r="J37" s="64">
        <f t="shared" si="4"/>
        <v>5951092</v>
      </c>
      <c r="K37" s="64">
        <f t="shared" si="4"/>
        <v>115625186</v>
      </c>
      <c r="L37" s="64">
        <f t="shared" si="4"/>
        <v>41110783</v>
      </c>
      <c r="M37" s="64">
        <f t="shared" si="4"/>
        <v>1144268</v>
      </c>
      <c r="N37" s="64">
        <f t="shared" si="4"/>
        <v>5033486</v>
      </c>
      <c r="O37" s="64">
        <f t="shared" si="4"/>
        <v>8663776</v>
      </c>
      <c r="P37" s="64">
        <f t="shared" si="4"/>
        <v>5664542</v>
      </c>
      <c r="Q37" s="64">
        <f t="shared" si="4"/>
        <v>217597732</v>
      </c>
      <c r="R37" s="64">
        <f t="shared" ref="R37:AC37" si="5">R36+R20</f>
        <v>445457173</v>
      </c>
      <c r="S37" s="64">
        <f t="shared" si="5"/>
        <v>195992795</v>
      </c>
      <c r="T37" s="64">
        <f t="shared" si="5"/>
        <v>2556683</v>
      </c>
      <c r="U37" s="64">
        <f t="shared" si="5"/>
        <v>53813732</v>
      </c>
      <c r="V37" s="64">
        <f t="shared" si="5"/>
        <v>4532926</v>
      </c>
      <c r="W37" s="64">
        <f t="shared" si="5"/>
        <v>27156012</v>
      </c>
      <c r="X37" s="64">
        <f t="shared" si="5"/>
        <v>33006063</v>
      </c>
      <c r="Y37" s="64">
        <f t="shared" si="5"/>
        <v>60197148</v>
      </c>
      <c r="Z37" s="64">
        <f t="shared" si="5"/>
        <v>8067147</v>
      </c>
      <c r="AA37" s="64">
        <f t="shared" si="5"/>
        <v>36844036</v>
      </c>
      <c r="AB37" s="64">
        <f t="shared" si="5"/>
        <v>232382394</v>
      </c>
      <c r="AC37" s="64">
        <f t="shared" si="5"/>
        <v>10863696</v>
      </c>
    </row>
  </sheetData>
  <mergeCells count="29">
    <mergeCell ref="B3:B4"/>
    <mergeCell ref="A3:A4"/>
    <mergeCell ref="AC3:AC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Y3:Y4"/>
    <mergeCell ref="P3:P4"/>
    <mergeCell ref="Q3:Q4"/>
    <mergeCell ref="S3:S4"/>
    <mergeCell ref="T3:T4"/>
    <mergeCell ref="C3:C4"/>
    <mergeCell ref="D3:D4"/>
    <mergeCell ref="E3:E4"/>
    <mergeCell ref="G3:G4"/>
    <mergeCell ref="AB3:AB4"/>
    <mergeCell ref="V3:V4"/>
    <mergeCell ref="W3:W4"/>
    <mergeCell ref="U3:U4"/>
    <mergeCell ref="R3:R4"/>
    <mergeCell ref="F3:F4"/>
    <mergeCell ref="X3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NL1</vt:lpstr>
      <vt:lpstr>NL2</vt:lpstr>
      <vt:lpstr>NL3</vt:lpstr>
      <vt:lpstr>NL4</vt:lpstr>
      <vt:lpstr>NL5</vt:lpstr>
      <vt:lpstr>NL6</vt:lpstr>
      <vt:lpstr>NL7</vt:lpstr>
      <vt:lpstr>NL10</vt:lpstr>
      <vt:lpstr>NL12</vt:lpstr>
      <vt:lpstr>NL13</vt:lpstr>
      <vt:lpstr>NL14</vt:lpstr>
      <vt:lpstr>NL15</vt:lpstr>
      <vt:lpstr>NL17</vt:lpstr>
      <vt:lpstr>NL23</vt:lpstr>
      <vt:lpstr>NL25</vt:lpstr>
      <vt:lpstr>NL30</vt:lpstr>
      <vt:lpstr>NL33</vt:lpstr>
      <vt:lpstr>NL40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2020-03-20T13:09:06Z</dcterms:modified>
</cp:coreProperties>
</file>